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72.79\compras-sma\LICITAÇÕES 2021\CONVITES 2021\CONVITE 02-2021 - EXECUÇÃO MURO\"/>
    </mc:Choice>
  </mc:AlternateContent>
  <bookViews>
    <workbookView xWindow="0" yWindow="0" windowWidth="15360" windowHeight="7665"/>
  </bookViews>
  <sheets>
    <sheet name="Orçamento" sheetId="1" r:id="rId1"/>
    <sheet name="Memória de Cálculo" sheetId="8" state="hidden" r:id="rId2"/>
    <sheet name="Cronograma" sheetId="2" r:id="rId3"/>
  </sheets>
  <definedNames>
    <definedName name="_xlnm.Print_Area" localSheetId="1">'Memória de Cálculo'!$A$1:$E$54</definedName>
    <definedName name="_xlnm.Print_Area" localSheetId="0">Orçamento!$A$2:$H$48</definedName>
    <definedName name="ORÇAMENTO.BancoRef" hidden="1">#REF!</definedName>
    <definedName name="REFERENCIA.Descricao" hidden="1">IF(ISNUMBER(#REF!),OFFSET(INDIRECT(ORÇAMENTO.BancoRef),#REF!-1,3,1),#REF!)</definedName>
    <definedName name="_xlnm.Print_Titles" localSheetId="0">Orçamento!$1:$9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8" l="1"/>
  <c r="E48" i="8"/>
  <c r="G45" i="8"/>
  <c r="E24" i="8"/>
  <c r="E20" i="8"/>
  <c r="E39" i="8"/>
  <c r="E33" i="8" l="1"/>
  <c r="E22" i="8"/>
  <c r="E31" i="1"/>
  <c r="G31" i="1"/>
  <c r="H31" i="1" l="1"/>
  <c r="G32" i="1" l="1"/>
  <c r="E32" i="1"/>
  <c r="G23" i="1"/>
  <c r="E27" i="8"/>
  <c r="E23" i="1" s="1"/>
  <c r="H32" i="1" l="1"/>
  <c r="H23" i="1"/>
  <c r="G36" i="1"/>
  <c r="G37" i="1"/>
  <c r="G38" i="1"/>
  <c r="G35" i="1"/>
  <c r="G24" i="1"/>
  <c r="G22" i="1"/>
  <c r="G21" i="1"/>
  <c r="G20" i="1"/>
  <c r="E50" i="8" l="1"/>
  <c r="E38" i="1" s="1"/>
  <c r="C49" i="8"/>
  <c r="B49" i="8"/>
  <c r="I10" i="2"/>
  <c r="I8" i="2"/>
  <c r="B14" i="2"/>
  <c r="B12" i="2"/>
  <c r="B20" i="2"/>
  <c r="B16" i="2"/>
  <c r="F17" i="1"/>
  <c r="G17" i="1" s="1"/>
  <c r="H17" i="1" s="1"/>
  <c r="E37" i="1"/>
  <c r="E46" i="8"/>
  <c r="E36" i="1" s="1"/>
  <c r="H38" i="1" l="1"/>
  <c r="E43" i="8"/>
  <c r="E35" i="1" s="1"/>
  <c r="E29" i="8"/>
  <c r="E31" i="8"/>
  <c r="E24" i="1" l="1"/>
  <c r="H24" i="1" s="1"/>
  <c r="H35" i="1"/>
  <c r="H37" i="1"/>
  <c r="H36" i="1"/>
  <c r="B18" i="2"/>
  <c r="C52" i="8"/>
  <c r="E22" i="1"/>
  <c r="E30" i="1"/>
  <c r="E28" i="1"/>
  <c r="E27" i="1"/>
  <c r="C30" i="8"/>
  <c r="C19" i="8"/>
  <c r="E21" i="1"/>
  <c r="E16" i="1"/>
  <c r="E14" i="1"/>
  <c r="H39" i="1" l="1"/>
  <c r="E20" i="1"/>
  <c r="H20" i="1" s="1"/>
  <c r="E41" i="1"/>
  <c r="G41" i="1"/>
  <c r="G30" i="1"/>
  <c r="H30" i="1" s="1"/>
  <c r="G29" i="1"/>
  <c r="H29" i="1" s="1"/>
  <c r="H22" i="1"/>
  <c r="G28" i="1"/>
  <c r="H28" i="1" s="1"/>
  <c r="G27" i="1"/>
  <c r="H27" i="1" s="1"/>
  <c r="H21" i="1"/>
  <c r="G16" i="1"/>
  <c r="H16" i="1" s="1"/>
  <c r="G15" i="1"/>
  <c r="H15" i="1" s="1"/>
  <c r="G14" i="1"/>
  <c r="H14" i="1" s="1"/>
  <c r="H33" i="1" l="1"/>
  <c r="E14" i="2" s="1"/>
  <c r="H18" i="1"/>
  <c r="E10" i="2" s="1"/>
  <c r="H25" i="1"/>
  <c r="H41" i="1"/>
  <c r="H42" i="1" s="1"/>
  <c r="G11" i="1" l="1"/>
  <c r="G11" i="2"/>
  <c r="H11" i="2"/>
  <c r="I14" i="2"/>
  <c r="B10" i="2"/>
  <c r="E18" i="2" l="1"/>
  <c r="I11" i="2"/>
  <c r="C11" i="8"/>
  <c r="C10" i="8"/>
  <c r="A10" i="8"/>
  <c r="G19" i="2" l="1"/>
  <c r="H19" i="2"/>
  <c r="I19" i="2" l="1"/>
  <c r="G15" i="2" l="1"/>
  <c r="H15" i="2"/>
  <c r="I15" i="2" l="1"/>
  <c r="E16" i="2" l="1"/>
  <c r="H17" i="2" s="1"/>
  <c r="G17" i="2" l="1"/>
  <c r="I17" i="2" s="1"/>
  <c r="F11" i="1"/>
  <c r="E12" i="2"/>
  <c r="H13" i="2" s="1"/>
  <c r="G13" i="2" l="1"/>
  <c r="I13" i="2" s="1"/>
  <c r="H11" i="1"/>
  <c r="H12" i="1" s="1"/>
  <c r="E8" i="2" l="1"/>
  <c r="G9" i="2" s="1"/>
  <c r="G44" i="1"/>
  <c r="F44" i="1" s="1"/>
  <c r="H9" i="2"/>
  <c r="H44" i="1" l="1"/>
  <c r="I9" i="2"/>
  <c r="H45" i="1" l="1"/>
  <c r="G46" i="1" s="1"/>
  <c r="I46" i="1" l="1"/>
  <c r="E20" i="2"/>
  <c r="E22" i="2" s="1"/>
  <c r="F20" i="2" l="1"/>
  <c r="F12" i="2"/>
  <c r="F16" i="2"/>
  <c r="H21" i="2"/>
  <c r="G21" i="2"/>
  <c r="G22" i="2" s="1"/>
  <c r="F8" i="2"/>
  <c r="F10" i="2"/>
  <c r="F14" i="2"/>
  <c r="F18" i="2"/>
  <c r="H22" i="2" l="1"/>
  <c r="H23" i="2" s="1"/>
  <c r="F22" i="2"/>
  <c r="I21" i="2"/>
  <c r="I22" i="2" l="1"/>
  <c r="G23" i="2"/>
  <c r="G24" i="2" l="1"/>
  <c r="H24" i="2" s="1"/>
  <c r="I23" i="2"/>
  <c r="I16" i="2"/>
  <c r="I20" i="2"/>
  <c r="I18" i="2"/>
  <c r="I12" i="2"/>
</calcChain>
</file>

<file path=xl/sharedStrings.xml><?xml version="1.0" encoding="utf-8"?>
<sst xmlns="http://schemas.openxmlformats.org/spreadsheetml/2006/main" count="250" uniqueCount="155">
  <si>
    <t>PLANILHA ORÇAMENTÁRIA</t>
  </si>
  <si>
    <t>BDI</t>
  </si>
  <si>
    <t>ITEM</t>
  </si>
  <si>
    <t>DESCRIÇÃO</t>
  </si>
  <si>
    <t>UNIDADE</t>
  </si>
  <si>
    <t>QUANTIDADE</t>
  </si>
  <si>
    <t>PREÇO UNITÁRIO S/ BDI</t>
  </si>
  <si>
    <t>PREÇO UNITÁRIO C/ BDI</t>
  </si>
  <si>
    <t>PREÇO TOTAL</t>
  </si>
  <si>
    <t>SERVIÇOS PRELIMINARES</t>
  </si>
  <si>
    <t>SUBTOTAL</t>
  </si>
  <si>
    <t>1.1</t>
  </si>
  <si>
    <t>M</t>
  </si>
  <si>
    <t>TOTAL DO CUSTO DA OBRA:</t>
  </si>
  <si>
    <t>Secretaria Municipal de Obras</t>
  </si>
  <si>
    <t>FL: ÚNICA</t>
  </si>
  <si>
    <t>CRONOGRAMA FÍSICO-FINANCEIRO</t>
  </si>
  <si>
    <t>MUNICÍPIO:</t>
  </si>
  <si>
    <t>JOÃO MONLEVADE / MG</t>
  </si>
  <si>
    <t>OBRA:</t>
  </si>
  <si>
    <t>PRAZO</t>
  </si>
  <si>
    <t xml:space="preserve">DATA : </t>
  </si>
  <si>
    <t>SERVIÇOS</t>
  </si>
  <si>
    <t>CUSTO</t>
  </si>
  <si>
    <t>INCID.</t>
  </si>
  <si>
    <t>mês-1</t>
  </si>
  <si>
    <t>mês-2</t>
  </si>
  <si>
    <t>TOTAL</t>
  </si>
  <si>
    <t>% MENSAL</t>
  </si>
  <si>
    <t>% ACUMULADO</t>
  </si>
  <si>
    <t>MEMÓRIA DE CÁLCULO</t>
  </si>
  <si>
    <t>Item</t>
  </si>
  <si>
    <t>Unidade</t>
  </si>
  <si>
    <t xml:space="preserve">  </t>
  </si>
  <si>
    <t>Quantidades</t>
  </si>
  <si>
    <t>Código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</si>
  <si>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</si>
  <si>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</si>
  <si>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</si>
  <si>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</si>
  <si>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</si>
  <si>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</si>
  <si>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</si>
  <si>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</si>
  <si>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</si>
  <si>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</si>
  <si>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FORNECIMENTO E COLOCAÇÃO DE PLACA DE OBRA EM CHAPA GALVANIZADA (3,00 X 1,5 0 M) - EM CHAPA GALVANIZADA 0,26 AFIXADAS COM REBITES 540 E PARAFUSOS 3/8, EM ESTRUTURA METÁLICA VIGA U 2" ENRIJECIDA COM METALON 20 X 20, SUPORTE EM EUCALIPTO AUTOCLAVADO PINTADAS</t>
  </si>
  <si>
    <t>IIO-PLA-005</t>
  </si>
  <si>
    <t>Uni</t>
  </si>
  <si>
    <t>M2</t>
  </si>
  <si>
    <t>Mês</t>
  </si>
  <si>
    <t>MOBILIZAÇÃO E DESMOBILIZAÇÃO DE CONTAINER, INCLUSIVE INSTALAÇÃO E TRANSPORTE COM CAMINHÃO GUINDAUTO (MUNCK)</t>
  </si>
  <si>
    <t>IIO-CON-005</t>
  </si>
  <si>
    <t>M3</t>
  </si>
  <si>
    <t>ESCAVAÇÃO E CARGA MECANIZADA EM MATERIAL DE 1ª CATEGORIA</t>
  </si>
  <si>
    <t>TER-ESC-015</t>
  </si>
  <si>
    <t>APILOAMENTO DO FUNDO DE VALAS COM PLACA</t>
  </si>
  <si>
    <t>TER-API-010</t>
  </si>
  <si>
    <t>REATERRO COMPACTADO DE VALA COM EQUIPAMENTO PLACA VIBRATÓRIA</t>
  </si>
  <si>
    <t>TER-REA-010</t>
  </si>
  <si>
    <t>DRENAGEM</t>
  </si>
  <si>
    <t>CONCRETO PARA BERÇO DE REDE TUBULAR TRAÇO 1:3:6, INCLUSIVE LANÇAMENTO</t>
  </si>
  <si>
    <t>DRE-CON-005</t>
  </si>
  <si>
    <t>BOCA DE LOBO SIMPLES (TIPO B - CONCRETO), QUADRO, GRELHA E CANTONEIRA, INCLUSIVE ESCAVAÇÃO, REATERRO E BOTA-FORA</t>
  </si>
  <si>
    <t>DRE-BOC-010</t>
  </si>
  <si>
    <t>3.4</t>
  </si>
  <si>
    <t>TRANSPORTE DE MATERIAL DE QUALQUER NATUREZA EM CAMINHÃO 2 KM &lt; DMT &lt;= 5 KM (DENTRO DO PERÍMETRO URBANO)</t>
  </si>
  <si>
    <t>TRANSPORTE</t>
  </si>
  <si>
    <t>TRA-CAM-015</t>
  </si>
  <si>
    <t>M3 x KM</t>
  </si>
  <si>
    <t>2.4</t>
  </si>
  <si>
    <t>Quantidade = 1 Unidade</t>
  </si>
  <si>
    <t>Quantidade = 2 Unidades</t>
  </si>
  <si>
    <t>POÇO DE VISITA PARA REDE TUBULAR TIPO A DN 500, EXCLUSIVE ESCAVAÇÃO, REATERRO E BOTA FORA</t>
  </si>
  <si>
    <t>DRE-POÇ-005</t>
  </si>
  <si>
    <t>ALV-BLO-025</t>
  </si>
  <si>
    <t>SEE-EST-005</t>
  </si>
  <si>
    <t>AUX-VIG-005</t>
  </si>
  <si>
    <t>ALVENARIA DE VEDAÇÃO COM BLOCO DE CONCRETO, ESP.14CM, COM ACABAMENTO APARENTE, INCLUSIVE ARGAMASSA PARA ASSENTAMENTO</t>
  </si>
  <si>
    <t>PILAR EM CONCRETO APARENTE 20MPA, INCLUSIVE ARMAÇÃO, FORMA PLASTIFICADA E DESFORMA</t>
  </si>
  <si>
    <t>VIGA 0,10 A 0,20 M DE LARGURA, CONCRETO 1:2:4 COM ARMAÇÃO E FORMA RESINADA</t>
  </si>
  <si>
    <t>DEM-CON-005</t>
  </si>
  <si>
    <t>DEMOLIÇÃO DE CONCRETO SIMPLES-MANUAL, INCLUSIVE AFASTAMENTO</t>
  </si>
  <si>
    <t>MURO DE DIVIDA</t>
  </si>
  <si>
    <t>MOVIMENTAÇÃO DE TERRA E DEMOLIÇÃO</t>
  </si>
  <si>
    <t>Tempo de serviço = 1 Meses</t>
  </si>
  <si>
    <t>MANILHA COMP(M)</t>
  </si>
  <si>
    <t>MANILHA DIAM(M)</t>
  </si>
  <si>
    <t>MANILHA ESCV(M)</t>
  </si>
  <si>
    <t>DEMOLIÇÃO DE CONCRETO SIMPLES-MANUAL, INCLUSIVE AFASTAMENTO (muro de divisa)</t>
  </si>
  <si>
    <t>Quantidade = Metro Linear de Tubulação
Quantidade = 15m</t>
  </si>
  <si>
    <t xml:space="preserve">Quantidade = Unidades x Largura x comp x Altura 
Quantidade = (4UN x 0,20m x 0,20m) </t>
  </si>
  <si>
    <t>MURO COMP(M)</t>
  </si>
  <si>
    <t>MURO altura(M)</t>
  </si>
  <si>
    <t>VIGA 0,10 A 0,20 M DE LARGURA, CONCRETO 1:2:4 COM ARMAÇÃO E FORMA RESINADA + BALDRAME</t>
  </si>
  <si>
    <t>ADMINISTRAÇÃO LOCAL</t>
  </si>
  <si>
    <t>ACORDÃO 2622/2013 TCU</t>
  </si>
  <si>
    <t>UNID</t>
  </si>
  <si>
    <t>ADMINISTRAÇÃO LOCAL CONFORME ACÓRDÃO Nº 2622/2013 - TCU - PLENÁRIO, TAXA PARA CONSTRUÇÃO DE EDIFICAÇÕES QUARTIL MÉDIO EM PERCENTUAL DE 6,23%</t>
  </si>
  <si>
    <t>MOBILIZAÇÃO E DESMOBILIZAÇÃO</t>
  </si>
  <si>
    <t>MOB-DES-020</t>
  </si>
  <si>
    <t>MOBILIZAÇÃO E DESMOBILIZAÇÃO PARA OBRAS ATÉ O VALOR DE 1.000.000,00 - 0,5% DO VALOR CONTRATUAL</t>
  </si>
  <si>
    <t>ED-16350</t>
  </si>
  <si>
    <t>LOCAÇÃO DE CONTAINER COM ISOLAMENTO TÉRMICO, TIPO3, PARA DEPÓSITO/FERRAMENTARIA DE OBRA COM MEDIDAS REFERENCIAIS DE(6)METROS COMPRIMENTO,(2,3)METROS LARGURA E (2,5)METROS ALTURA ÚTIL INTERNA, INCLUSIVE LIGAÇÕES ELÉTRICAS INTERNAS.</t>
  </si>
  <si>
    <t>IIO-SAN-005</t>
  </si>
  <si>
    <t>BANHEIRO QUÍMICO 110 X 120 X 230 CM COM MANUTENÇÃO</t>
  </si>
  <si>
    <t>OBRA: CONSTRUÇÃO DE MURO E DRENAGEM RUA CAXAMBU, BAIRRO LOURDES</t>
  </si>
  <si>
    <t>4.5</t>
  </si>
  <si>
    <t>5.2</t>
  </si>
  <si>
    <t>5.3</t>
  </si>
  <si>
    <t>5.4</t>
  </si>
  <si>
    <t>7.1</t>
  </si>
  <si>
    <t>ED-9075</t>
  </si>
  <si>
    <t>M2/MÊS</t>
  </si>
  <si>
    <t>FORNECIMENTO DE ANDAIME METÁLICO PARA FACHADA (LOCAÇÃO), INCLUSIVE PISO METÁLICO E SAPATAS,</t>
  </si>
  <si>
    <t>MURO DE divisa</t>
  </si>
  <si>
    <t xml:space="preserve">Quantidade =  Comp x Altura 
Quantidade = (2m x 1,8) </t>
  </si>
  <si>
    <t>END.:</t>
  </si>
  <si>
    <t>REF.:</t>
  </si>
  <si>
    <t>OBS.:</t>
  </si>
  <si>
    <t>Todos os serviços deverão estar em conformidade com as respectivas normas e especificações atualizadas da Associação Brasileira de Normas Técnicas</t>
  </si>
  <si>
    <t>EXECUÇÃO DE MURO E DRENAGEM</t>
  </si>
  <si>
    <t xml:space="preserve">SET/SETOP 2020   Sem Desoneração  </t>
  </si>
  <si>
    <t>DIRETA (    )</t>
  </si>
  <si>
    <t>INDIRETA (    )</t>
  </si>
  <si>
    <t>FORNECIMENTO,ASSENTAMENTOEREJUNTAMENTODETUBODECONCRETO ARMADO PA1 D = 300 MM</t>
  </si>
  <si>
    <t>DRE-TUB-060</t>
  </si>
  <si>
    <t>DEM-ALV-005</t>
  </si>
  <si>
    <t xml:space="preserve">Quantidade = Largura x Altura x Comprimento
Quantidade = (0,20m x 0,4m x 3,2m) </t>
  </si>
  <si>
    <t xml:space="preserve">Quantidade = Largura x Altura x Comprimento
Quantidade = (0,1m x 1,2m x 6m) </t>
  </si>
  <si>
    <t>3.5</t>
  </si>
  <si>
    <t>DEMOLIÇÃO DE ALVENARIA DE TIJOLO E BLOCO SEM APROVEITAMENTO DO MATERIAL, INCLUSIVE AFASTAMENTO</t>
  </si>
  <si>
    <t>PISO CIMENTADO COM ARGAMASSA,TRAÇO1:3 (CIMENTO E AREIA), ESP.50MM, ACABAMENTO DESEMPENADO E FELTRADO, MODULAÇÃO DE 100X100CM, INCLUSIVE JUNTA PLÁSTICA</t>
  </si>
  <si>
    <t>PIS-CIM-035</t>
  </si>
  <si>
    <t>4.6</t>
  </si>
  <si>
    <t>RO-40647</t>
  </si>
  <si>
    <t>4.7</t>
  </si>
  <si>
    <t xml:space="preserve">Quantidade = Comprimento
Quantidade = (12m) </t>
  </si>
  <si>
    <t>3.6</t>
  </si>
  <si>
    <t>APILOAMENTO DO FUNDO DE VALAS COM PLACA (trecho rede e sargeta)</t>
  </si>
  <si>
    <t>Quantidade = Largura x Comprimento
Quantidade = (0,8m x 15m)+(0,5m*12m)</t>
  </si>
  <si>
    <t>SARJETA DE CONCRETO LARGURA = 50CM (EXECUÇÃO, INCLUINDO ESCAVAÇÃO, FORNECIMENTO E TRANSPORTE DE TODOS OS MATERIAIS)</t>
  </si>
  <si>
    <t>SARJETA DE CONCRETO LARGURA = 50CM  (EXECUÇÃO, INCLUINDO ESCAVAÇÃO, FORNECIMENTO E TRANSPORTE DE TODOS OS MATERIAIS)</t>
  </si>
  <si>
    <t>Quantidade = Manilhas (Largura x Altura x Comprimento) + Boca de Lobo
Quantidade = (0,7m x 1,5m x15m) + (1,25m x0 ,8m x 1,5)*2</t>
  </si>
  <si>
    <t>Quantidade = Largura x Comprimento x Espessura
Quantidade = 0,7m x 15m x 0,1m</t>
  </si>
  <si>
    <t xml:space="preserve">Quantidade = Largura x Comprimento
Quantidade = (0,7m x15m) </t>
  </si>
  <si>
    <t>Quantidade =  (Escavação+demolição - Reaterro)</t>
  </si>
  <si>
    <t>6.1</t>
  </si>
  <si>
    <t>DEMOLIÇÃO DE ALVENARIA DE TIJOLO E BLOCO SEM APROVEITAMENTO DO MATERIAL, INCLUSIVE AFASTAMENTO (muro de divisa)</t>
  </si>
  <si>
    <r>
      <t xml:space="preserve">Quantidade = (Escavação ) - (Berço + </t>
    </r>
    <r>
      <rPr>
        <sz val="11"/>
        <color theme="1"/>
        <rFont val="Calibri"/>
        <family val="2"/>
      </rPr>
      <t>φManilha+ Boca de lobo)
Quantidade = 18,75 M³ - ( (0,1m x 0,7m x 15m) + ((π x (0,3)²m / 4)*15) + ((1,25m x 0,8m x x1,5m)*2)M³</t>
    </r>
  </si>
  <si>
    <t xml:space="preserve">Quantidade = Largura x Altura x Comprimento
Quantidade = (1,5m x7m) </t>
  </si>
  <si>
    <t>Quantidade =  Largura x comp x Altura 
Quantidade = (0,15m x 7m x 0,3m) x 2</t>
  </si>
  <si>
    <t xml:space="preserve">Rua Caxambu, bairro Lourdes, João Monlevade - MG, </t>
  </si>
  <si>
    <t xml:space="preserve">Rua Caxambu, bairro Lourdes, João Monlevade - MG, 
</t>
  </si>
  <si>
    <t>DATA 29/01/2021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</si>
</sst>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  <numFmt numFmtId="166" formatCode="_-[$R$-416]\ * #,##0.00_-;\-[$R$-416]\ * #,##0.00_-;_-[$R$-416]\ * &quot;-&quot;??_-;_-@_-"/>
    <numFmt numFmtId="167" formatCode="&quot;R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9">
    <xf numFmtId="0" fontId="0" fillId="0" borderId="0" xfId="0"/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5" fillId="0" borderId="9" xfId="0" applyFont="1" applyBorder="1" applyAlignment="1">
      <alignment vertical="distributed"/>
    </xf>
    <xf numFmtId="0" fontId="4" fillId="0" borderId="0" xfId="0" applyNumberFormat="1" applyFont="1" applyBorder="1" applyAlignment="1"/>
    <xf numFmtId="0" fontId="0" fillId="0" borderId="0" xfId="0" applyBorder="1"/>
    <xf numFmtId="0" fontId="5" fillId="2" borderId="0" xfId="0" applyNumberFormat="1" applyFont="1" applyFill="1" applyBorder="1" applyAlignment="1"/>
    <xf numFmtId="0" fontId="4" fillId="0" borderId="0" xfId="0" applyFont="1" applyBorder="1" applyAlignment="1">
      <alignment vertical="distributed"/>
    </xf>
    <xf numFmtId="0" fontId="0" fillId="0" borderId="0" xfId="0" applyFill="1"/>
    <xf numFmtId="0" fontId="3" fillId="0" borderId="0" xfId="0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2" fontId="7" fillId="0" borderId="15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Border="1"/>
    <xf numFmtId="2" fontId="0" fillId="0" borderId="0" xfId="0" applyNumberFormat="1" applyFill="1" applyAlignment="1">
      <alignment horizontal="center" vertical="distributed"/>
    </xf>
    <xf numFmtId="0" fontId="0" fillId="0" borderId="0" xfId="0" applyFill="1" applyAlignment="1">
      <alignment vertical="distributed"/>
    </xf>
    <xf numFmtId="0" fontId="0" fillId="0" borderId="0" xfId="0" applyFill="1" applyAlignment="1">
      <alignment horizontal="center" vertical="distributed"/>
    </xf>
    <xf numFmtId="0" fontId="0" fillId="3" borderId="0" xfId="0" applyFill="1" applyAlignment="1">
      <alignment vertical="distributed"/>
    </xf>
    <xf numFmtId="0" fontId="0" fillId="3" borderId="0" xfId="0" applyFill="1"/>
    <xf numFmtId="0" fontId="7" fillId="0" borderId="15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distributed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distributed" wrapText="1"/>
    </xf>
    <xf numFmtId="2" fontId="8" fillId="0" borderId="31" xfId="0" applyNumberFormat="1" applyFont="1" applyFill="1" applyBorder="1" applyAlignment="1">
      <alignment horizontal="center" vertical="distributed" wrapText="1"/>
    </xf>
    <xf numFmtId="166" fontId="3" fillId="0" borderId="15" xfId="0" applyNumberFormat="1" applyFont="1" applyFill="1" applyBorder="1" applyAlignment="1">
      <alignment horizontal="center" vertical="center" wrapText="1"/>
    </xf>
    <xf numFmtId="166" fontId="9" fillId="0" borderId="10" xfId="0" applyNumberFormat="1" applyFont="1" applyFill="1" applyBorder="1" applyAlignment="1">
      <alignment vertical="center" wrapText="1"/>
    </xf>
    <xf numFmtId="166" fontId="0" fillId="0" borderId="0" xfId="0" applyNumberFormat="1" applyFill="1"/>
    <xf numFmtId="0" fontId="0" fillId="0" borderId="0" xfId="0" applyFill="1" applyBorder="1" applyAlignment="1">
      <alignment horizontal="center" vertical="distributed"/>
    </xf>
    <xf numFmtId="2" fontId="0" fillId="0" borderId="0" xfId="0" applyNumberFormat="1" applyFill="1" applyBorder="1" applyAlignment="1">
      <alignment horizontal="center" vertical="distributed"/>
    </xf>
    <xf numFmtId="0" fontId="0" fillId="0" borderId="0" xfId="0" applyFill="1" applyBorder="1" applyAlignment="1">
      <alignment vertical="distributed"/>
    </xf>
    <xf numFmtId="0" fontId="8" fillId="0" borderId="35" xfId="0" applyFont="1" applyFill="1" applyBorder="1" applyAlignment="1">
      <alignment horizontal="center" vertical="distributed" wrapText="1"/>
    </xf>
    <xf numFmtId="0" fontId="6" fillId="4" borderId="30" xfId="2" applyFont="1" applyFill="1" applyBorder="1" applyAlignment="1">
      <alignment horizontal="center" vertical="center" wrapText="1"/>
    </xf>
    <xf numFmtId="0" fontId="7" fillId="0" borderId="29" xfId="2" applyFont="1" applyFill="1" applyBorder="1" applyAlignment="1">
      <alignment vertical="center" wrapText="1"/>
    </xf>
    <xf numFmtId="2" fontId="7" fillId="0" borderId="29" xfId="2" applyNumberFormat="1" applyFont="1" applyFill="1" applyBorder="1" applyAlignment="1">
      <alignment horizontal="center" vertical="center" wrapText="1"/>
    </xf>
    <xf numFmtId="2" fontId="2" fillId="0" borderId="15" xfId="3" applyNumberFormat="1" applyFont="1" applyFill="1" applyBorder="1" applyAlignment="1">
      <alignment horizontal="center" vertical="center" wrapText="1"/>
    </xf>
    <xf numFmtId="4" fontId="2" fillId="0" borderId="15" xfId="2" applyNumberFormat="1" applyFont="1" applyFill="1" applyBorder="1" applyAlignment="1">
      <alignment horizontal="center" vertical="center" wrapText="1"/>
    </xf>
    <xf numFmtId="165" fontId="7" fillId="0" borderId="15" xfId="2" applyNumberFormat="1" applyFont="1" applyFill="1" applyBorder="1" applyAlignment="1">
      <alignment horizontal="center" vertical="center"/>
    </xf>
    <xf numFmtId="165" fontId="7" fillId="0" borderId="15" xfId="2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5" fontId="7" fillId="0" borderId="29" xfId="2" applyNumberFormat="1" applyFont="1" applyFill="1" applyBorder="1" applyAlignment="1">
      <alignment horizontal="center" vertical="center"/>
    </xf>
    <xf numFmtId="165" fontId="7" fillId="0" borderId="29" xfId="2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distributed"/>
    </xf>
    <xf numFmtId="0" fontId="0" fillId="0" borderId="38" xfId="0" applyFill="1" applyBorder="1" applyAlignment="1">
      <alignment horizontal="center" vertical="distributed"/>
    </xf>
    <xf numFmtId="0" fontId="0" fillId="0" borderId="36" xfId="0" applyFill="1" applyBorder="1" applyAlignment="1">
      <alignment horizontal="center" vertical="distributed"/>
    </xf>
    <xf numFmtId="0" fontId="0" fillId="0" borderId="28" xfId="0" applyFill="1" applyBorder="1" applyAlignment="1">
      <alignment horizontal="center" vertical="distributed"/>
    </xf>
    <xf numFmtId="0" fontId="4" fillId="0" borderId="9" xfId="0" applyFont="1" applyBorder="1" applyAlignment="1">
      <alignment horizontal="center" vertical="distributed"/>
    </xf>
    <xf numFmtId="0" fontId="4" fillId="0" borderId="11" xfId="0" applyFont="1" applyBorder="1" applyAlignment="1">
      <alignment horizontal="center" vertical="distributed"/>
    </xf>
    <xf numFmtId="0" fontId="5" fillId="0" borderId="20" xfId="0" applyNumberFormat="1" applyFont="1" applyBorder="1" applyAlignment="1">
      <alignment horizontal="center" vertical="distributed"/>
    </xf>
    <xf numFmtId="165" fontId="0" fillId="0" borderId="0" xfId="0" applyNumberFormat="1" applyFill="1"/>
    <xf numFmtId="0" fontId="3" fillId="0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2" fontId="0" fillId="0" borderId="38" xfId="0" applyNumberFormat="1" applyFill="1" applyBorder="1" applyAlignment="1">
      <alignment horizontal="center" vertical="distributed"/>
    </xf>
    <xf numFmtId="0" fontId="0" fillId="0" borderId="0" xfId="0" applyBorder="1" applyAlignment="1">
      <alignment vertical="center"/>
    </xf>
    <xf numFmtId="0" fontId="7" fillId="0" borderId="36" xfId="2" applyFont="1" applyFill="1" applyBorder="1" applyAlignment="1">
      <alignment horizontal="center" vertical="center" wrapText="1"/>
    </xf>
    <xf numFmtId="165" fontId="7" fillId="0" borderId="28" xfId="2" applyNumberFormat="1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0" xfId="0" applyNumberFormat="1" applyFont="1" applyBorder="1" applyAlignment="1">
      <alignment horizontal="center"/>
    </xf>
    <xf numFmtId="43" fontId="2" fillId="0" borderId="0" xfId="4" applyFont="1" applyBorder="1"/>
    <xf numFmtId="0" fontId="2" fillId="0" borderId="0" xfId="0" applyFont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2" fontId="2" fillId="0" borderId="15" xfId="4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0" fontId="0" fillId="0" borderId="28" xfId="0" applyFill="1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Fill="1" applyBorder="1" applyAlignment="1">
      <alignment horizontal="distributed" vertical="distributed"/>
    </xf>
    <xf numFmtId="165" fontId="3" fillId="0" borderId="46" xfId="2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distributed" vertical="distributed"/>
    </xf>
    <xf numFmtId="0" fontId="12" fillId="0" borderId="0" xfId="0" applyFont="1" applyFill="1" applyBorder="1" applyAlignment="1">
      <alignment horizontal="justify" vertical="distributed" wrapText="1"/>
    </xf>
    <xf numFmtId="2" fontId="12" fillId="0" borderId="0" xfId="0" applyNumberFormat="1" applyFont="1" applyFill="1" applyBorder="1" applyAlignment="1">
      <alignment horizontal="center" vertical="distributed"/>
    </xf>
    <xf numFmtId="167" fontId="12" fillId="2" borderId="0" xfId="0" applyNumberFormat="1" applyFont="1" applyFill="1" applyBorder="1" applyAlignment="1">
      <alignment horizontal="distributed" vertical="distributed"/>
    </xf>
    <xf numFmtId="165" fontId="3" fillId="0" borderId="47" xfId="2" applyNumberFormat="1" applyFont="1" applyFill="1" applyBorder="1" applyAlignment="1">
      <alignment horizontal="center" vertical="center" wrapText="1"/>
    </xf>
    <xf numFmtId="165" fontId="7" fillId="0" borderId="36" xfId="2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>
      <alignment horizontal="center" vertical="distributed"/>
    </xf>
    <xf numFmtId="2" fontId="0" fillId="0" borderId="29" xfId="0" applyNumberFormat="1" applyFill="1" applyBorder="1" applyAlignment="1">
      <alignment horizontal="center" vertical="distributed"/>
    </xf>
    <xf numFmtId="0" fontId="0" fillId="0" borderId="28" xfId="0" applyFill="1" applyBorder="1" applyAlignment="1">
      <alignment vertical="distributed"/>
    </xf>
    <xf numFmtId="0" fontId="12" fillId="0" borderId="29" xfId="0" applyFont="1" applyBorder="1" applyAlignment="1">
      <alignment horizontal="center" vertical="center"/>
    </xf>
    <xf numFmtId="165" fontId="2" fillId="0" borderId="15" xfId="8" applyNumberFormat="1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2" fontId="0" fillId="0" borderId="52" xfId="0" applyNumberFormat="1" applyFill="1" applyBorder="1" applyAlignment="1">
      <alignment vertical="distributed"/>
    </xf>
    <xf numFmtId="0" fontId="5" fillId="0" borderId="21" xfId="0" applyFont="1" applyBorder="1" applyAlignment="1">
      <alignment horizontal="center" vertical="distributed"/>
    </xf>
    <xf numFmtId="10" fontId="5" fillId="0" borderId="21" xfId="1" applyNumberFormat="1" applyFont="1" applyBorder="1" applyAlignment="1">
      <alignment horizontal="center" vertical="distributed"/>
    </xf>
    <xf numFmtId="0" fontId="5" fillId="0" borderId="10" xfId="0" applyFont="1" applyBorder="1" applyAlignment="1">
      <alignment vertical="distributed"/>
    </xf>
    <xf numFmtId="0" fontId="5" fillId="0" borderId="11" xfId="0" applyFont="1" applyBorder="1" applyAlignment="1">
      <alignment horizontal="right" vertical="distributed"/>
    </xf>
    <xf numFmtId="0" fontId="5" fillId="0" borderId="53" xfId="0" applyFont="1" applyBorder="1" applyAlignment="1">
      <alignment horizontal="center" vertical="distributed"/>
    </xf>
    <xf numFmtId="10" fontId="5" fillId="0" borderId="53" xfId="1" applyNumberFormat="1" applyFont="1" applyBorder="1" applyAlignment="1">
      <alignment horizontal="center" vertical="distributed"/>
    </xf>
    <xf numFmtId="0" fontId="5" fillId="0" borderId="4" xfId="0" applyFont="1" applyBorder="1" applyAlignment="1">
      <alignment vertical="distributed"/>
    </xf>
    <xf numFmtId="0" fontId="5" fillId="0" borderId="0" xfId="0" applyFont="1" applyBorder="1" applyAlignment="1">
      <alignment vertical="distributed"/>
    </xf>
    <xf numFmtId="0" fontId="5" fillId="0" borderId="5" xfId="0" applyFont="1" applyBorder="1" applyAlignment="1">
      <alignment horizontal="right" vertical="distributed"/>
    </xf>
    <xf numFmtId="43" fontId="5" fillId="0" borderId="16" xfId="4" applyFont="1" applyBorder="1" applyAlignment="1">
      <alignment horizontal="center" vertical="distributed"/>
    </xf>
    <xf numFmtId="10" fontId="5" fillId="0" borderId="54" xfId="1" applyNumberFormat="1" applyFont="1" applyBorder="1" applyAlignment="1">
      <alignment horizontal="center" vertical="distributed"/>
    </xf>
    <xf numFmtId="43" fontId="5" fillId="0" borderId="54" xfId="4" applyFont="1" applyBorder="1" applyAlignment="1">
      <alignment horizontal="center" vertical="distributed"/>
    </xf>
    <xf numFmtId="43" fontId="4" fillId="0" borderId="16" xfId="4" applyFont="1" applyBorder="1" applyAlignment="1">
      <alignment horizontal="center" vertical="distributed"/>
    </xf>
    <xf numFmtId="0" fontId="4" fillId="0" borderId="53" xfId="0" applyFont="1" applyBorder="1" applyAlignment="1">
      <alignment horizontal="center" vertical="distributed"/>
    </xf>
    <xf numFmtId="0" fontId="5" fillId="0" borderId="53" xfId="0" applyNumberFormat="1" applyFont="1" applyBorder="1" applyAlignment="1">
      <alignment horizontal="center" vertical="distributed"/>
    </xf>
    <xf numFmtId="9" fontId="5" fillId="0" borderId="54" xfId="1" applyFont="1" applyBorder="1" applyAlignment="1">
      <alignment horizontal="center" vertical="distributed"/>
    </xf>
    <xf numFmtId="0" fontId="5" fillId="0" borderId="63" xfId="0" applyFont="1" applyBorder="1" applyAlignment="1">
      <alignment vertical="distributed"/>
    </xf>
    <xf numFmtId="10" fontId="4" fillId="0" borderId="16" xfId="4" applyNumberFormat="1" applyFont="1" applyBorder="1" applyAlignment="1">
      <alignment horizontal="center" vertical="distributed"/>
    </xf>
    <xf numFmtId="0" fontId="0" fillId="0" borderId="49" xfId="0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/>
    </xf>
    <xf numFmtId="165" fontId="5" fillId="0" borderId="15" xfId="8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2" fontId="0" fillId="0" borderId="28" xfId="0" applyNumberFormat="1" applyFill="1" applyBorder="1" applyAlignment="1">
      <alignment horizontal="center" vertical="distributed"/>
    </xf>
    <xf numFmtId="0" fontId="0" fillId="0" borderId="36" xfId="0" applyFill="1" applyBorder="1" applyAlignment="1">
      <alignment horizontal="center" vertical="distributed"/>
    </xf>
    <xf numFmtId="49" fontId="13" fillId="0" borderId="15" xfId="0" applyNumberFormat="1" applyFont="1" applyBorder="1" applyAlignment="1">
      <alignment horizontal="center" vertical="distributed"/>
    </xf>
    <xf numFmtId="0" fontId="3" fillId="0" borderId="15" xfId="0" applyFont="1" applyFill="1" applyBorder="1" applyAlignment="1">
      <alignment vertical="center"/>
    </xf>
    <xf numFmtId="166" fontId="3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4" fontId="3" fillId="0" borderId="47" xfId="2" applyNumberFormat="1" applyFont="1" applyFill="1" applyBorder="1" applyAlignment="1">
      <alignment horizontal="center" vertical="center" wrapText="1"/>
    </xf>
    <xf numFmtId="4" fontId="4" fillId="0" borderId="47" xfId="2" applyNumberFormat="1" applyFont="1" applyFill="1" applyBorder="1" applyAlignment="1">
      <alignment horizontal="center" vertical="center" wrapText="1"/>
    </xf>
    <xf numFmtId="4" fontId="3" fillId="0" borderId="28" xfId="2" applyNumberFormat="1" applyFont="1" applyFill="1" applyBorder="1" applyAlignment="1">
      <alignment horizontal="center" vertical="center" wrapText="1"/>
    </xf>
    <xf numFmtId="165" fontId="3" fillId="0" borderId="28" xfId="2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2" fontId="2" fillId="0" borderId="29" xfId="4" applyNumberFormat="1" applyFont="1" applyFill="1" applyBorder="1" applyAlignment="1">
      <alignment horizontal="center" vertical="center" wrapText="1"/>
    </xf>
    <xf numFmtId="4" fontId="2" fillId="0" borderId="29" xfId="0" applyNumberFormat="1" applyFont="1" applyFill="1" applyBorder="1" applyAlignment="1">
      <alignment horizontal="center" vertical="center" wrapText="1"/>
    </xf>
    <xf numFmtId="165" fontId="2" fillId="0" borderId="29" xfId="8" applyNumberFormat="1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>
      <alignment horizontal="center" vertical="distributed"/>
    </xf>
    <xf numFmtId="2" fontId="7" fillId="0" borderId="44" xfId="2" applyNumberFormat="1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>
      <alignment horizontal="center" vertical="distributed"/>
    </xf>
    <xf numFmtId="2" fontId="0" fillId="0" borderId="64" xfId="0" applyNumberFormat="1" applyFill="1" applyBorder="1" applyAlignment="1">
      <alignment horizontal="center" vertical="distributed"/>
    </xf>
    <xf numFmtId="0" fontId="6" fillId="4" borderId="7" xfId="2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2" fontId="0" fillId="0" borderId="43" xfId="0" applyNumberForma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left" vertical="distributed"/>
    </xf>
    <xf numFmtId="2" fontId="5" fillId="0" borderId="10" xfId="0" applyNumberFormat="1" applyFont="1" applyFill="1" applyBorder="1" applyAlignment="1">
      <alignment horizontal="right" vertical="distributed"/>
    </xf>
    <xf numFmtId="0" fontId="3" fillId="4" borderId="13" xfId="2" applyFont="1" applyFill="1" applyBorder="1" applyAlignment="1">
      <alignment horizontal="left" vertical="center" wrapText="1"/>
    </xf>
    <xf numFmtId="0" fontId="3" fillId="4" borderId="10" xfId="2" applyFont="1" applyFill="1" applyBorder="1" applyAlignment="1">
      <alignment horizontal="left" vertical="center" wrapText="1"/>
    </xf>
    <xf numFmtId="0" fontId="3" fillId="4" borderId="12" xfId="2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10" fontId="4" fillId="0" borderId="15" xfId="1" applyNumberFormat="1" applyFont="1" applyFill="1" applyBorder="1" applyAlignment="1">
      <alignment horizontal="center" vertical="center"/>
    </xf>
    <xf numFmtId="49" fontId="13" fillId="0" borderId="40" xfId="0" applyNumberFormat="1" applyFont="1" applyBorder="1" applyAlignment="1">
      <alignment horizontal="left" vertical="distributed"/>
    </xf>
    <xf numFmtId="49" fontId="13" fillId="0" borderId="0" xfId="0" applyNumberFormat="1" applyFont="1" applyBorder="1" applyAlignment="1">
      <alignment horizontal="left" vertical="distributed"/>
    </xf>
    <xf numFmtId="49" fontId="13" fillId="0" borderId="15" xfId="0" applyNumberFormat="1" applyFont="1" applyBorder="1" applyAlignment="1">
      <alignment horizontal="left" vertical="distributed"/>
    </xf>
    <xf numFmtId="49" fontId="13" fillId="0" borderId="48" xfId="0" applyNumberFormat="1" applyFont="1" applyBorder="1" applyAlignment="1">
      <alignment horizontal="left" vertical="distributed"/>
    </xf>
    <xf numFmtId="0" fontId="10" fillId="0" borderId="43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49" fontId="13" fillId="0" borderId="48" xfId="0" applyNumberFormat="1" applyFont="1" applyBorder="1" applyAlignment="1">
      <alignment horizontal="center" vertical="distributed"/>
    </xf>
    <xf numFmtId="49" fontId="13" fillId="0" borderId="49" xfId="0" applyNumberFormat="1" applyFont="1" applyBorder="1" applyAlignment="1">
      <alignment horizontal="center" vertical="distributed"/>
    </xf>
    <xf numFmtId="49" fontId="13" fillId="0" borderId="34" xfId="0" applyNumberFormat="1" applyFont="1" applyBorder="1" applyAlignment="1">
      <alignment horizontal="center" vertical="distributed"/>
    </xf>
    <xf numFmtId="49" fontId="13" fillId="0" borderId="48" xfId="0" applyNumberFormat="1" applyFont="1" applyBorder="1" applyAlignment="1">
      <alignment horizontal="center" vertical="distributed" wrapText="1"/>
    </xf>
    <xf numFmtId="49" fontId="13" fillId="0" borderId="49" xfId="0" applyNumberFormat="1" applyFont="1" applyBorder="1" applyAlignment="1">
      <alignment horizontal="center" vertical="distributed" wrapText="1"/>
    </xf>
    <xf numFmtId="49" fontId="13" fillId="0" borderId="34" xfId="0" applyNumberFormat="1" applyFont="1" applyBorder="1" applyAlignment="1">
      <alignment horizontal="center" vertical="distributed" wrapText="1"/>
    </xf>
    <xf numFmtId="0" fontId="3" fillId="0" borderId="4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0" fontId="6" fillId="0" borderId="50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51" xfId="2" applyFont="1" applyFill="1" applyBorder="1" applyAlignment="1">
      <alignment horizontal="center" vertical="center" wrapText="1"/>
    </xf>
    <xf numFmtId="0" fontId="7" fillId="0" borderId="50" xfId="2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 wrapText="1"/>
    </xf>
    <xf numFmtId="0" fontId="7" fillId="0" borderId="51" xfId="2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distributed"/>
    </xf>
    <xf numFmtId="165" fontId="9" fillId="0" borderId="10" xfId="0" applyNumberFormat="1" applyFont="1" applyFill="1" applyBorder="1" applyAlignment="1">
      <alignment horizontal="center" vertical="center" wrapText="1"/>
    </xf>
    <xf numFmtId="165" fontId="9" fillId="0" borderId="11" xfId="0" applyNumberFormat="1" applyFont="1" applyFill="1" applyBorder="1" applyAlignment="1">
      <alignment horizontal="center" vertical="center" wrapText="1"/>
    </xf>
    <xf numFmtId="0" fontId="6" fillId="0" borderId="43" xfId="2" applyFont="1" applyFill="1" applyBorder="1" applyAlignment="1">
      <alignment horizontal="center" vertical="center" wrapText="1"/>
    </xf>
    <xf numFmtId="0" fontId="6" fillId="0" borderId="44" xfId="2" applyFont="1" applyFill="1" applyBorder="1" applyAlignment="1">
      <alignment horizontal="center" vertical="center" wrapText="1"/>
    </xf>
    <xf numFmtId="0" fontId="6" fillId="0" borderId="35" xfId="2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distributed"/>
    </xf>
    <xf numFmtId="0" fontId="0" fillId="0" borderId="36" xfId="0" applyFill="1" applyBorder="1" applyAlignment="1">
      <alignment horizontal="center" vertical="distributed"/>
    </xf>
    <xf numFmtId="0" fontId="0" fillId="0" borderId="28" xfId="0" applyFill="1" applyBorder="1" applyAlignment="1">
      <alignment horizontal="center" vertical="distributed"/>
    </xf>
    <xf numFmtId="0" fontId="0" fillId="0" borderId="29" xfId="0" applyFill="1" applyBorder="1" applyAlignment="1">
      <alignment horizontal="center" vertical="distributed"/>
    </xf>
    <xf numFmtId="0" fontId="0" fillId="0" borderId="15" xfId="0" applyFill="1" applyBorder="1" applyAlignment="1">
      <alignment horizontal="center" vertical="center" wrapText="1"/>
    </xf>
    <xf numFmtId="2" fontId="0" fillId="0" borderId="15" xfId="0" applyNumberFormat="1" applyFill="1" applyBorder="1" applyAlignment="1">
      <alignment horizontal="center" vertical="distributed"/>
    </xf>
    <xf numFmtId="0" fontId="0" fillId="0" borderId="15" xfId="0" applyFill="1" applyBorder="1" applyAlignment="1">
      <alignment horizontal="center" vertical="distributed"/>
    </xf>
    <xf numFmtId="0" fontId="0" fillId="0" borderId="43" xfId="0" applyFill="1" applyBorder="1" applyAlignment="1">
      <alignment horizontal="center" vertical="distributed"/>
    </xf>
    <xf numFmtId="0" fontId="0" fillId="0" borderId="52" xfId="0" applyFill="1" applyBorder="1" applyAlignment="1">
      <alignment horizontal="center" vertical="distributed"/>
    </xf>
    <xf numFmtId="165" fontId="2" fillId="0" borderId="24" xfId="0" applyNumberFormat="1" applyFont="1" applyFill="1" applyBorder="1" applyAlignment="1">
      <alignment horizontal="center"/>
    </xf>
    <xf numFmtId="165" fontId="2" fillId="0" borderId="33" xfId="0" applyNumberFormat="1" applyFont="1" applyFill="1" applyBorder="1" applyAlignment="1">
      <alignment horizontal="center"/>
    </xf>
    <xf numFmtId="165" fontId="2" fillId="0" borderId="25" xfId="0" applyNumberFormat="1" applyFont="1" applyFill="1" applyBorder="1" applyAlignment="1">
      <alignment horizontal="center"/>
    </xf>
    <xf numFmtId="165" fontId="2" fillId="0" borderId="26" xfId="0" applyNumberFormat="1" applyFont="1" applyFill="1" applyBorder="1" applyAlignment="1">
      <alignment horizontal="center"/>
    </xf>
    <xf numFmtId="165" fontId="2" fillId="0" borderId="22" xfId="0" applyNumberFormat="1" applyFont="1" applyFill="1" applyBorder="1" applyAlignment="1">
      <alignment horizontal="center"/>
    </xf>
    <xf numFmtId="165" fontId="2" fillId="0" borderId="34" xfId="0" applyNumberFormat="1" applyFont="1" applyFill="1" applyBorder="1" applyAlignment="1">
      <alignment horizontal="center"/>
    </xf>
    <xf numFmtId="165" fontId="2" fillId="0" borderId="15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2" fontId="0" fillId="0" borderId="32" xfId="0" applyNumberFormat="1" applyFill="1" applyBorder="1" applyAlignment="1">
      <alignment horizontal="center" vertical="center"/>
    </xf>
    <xf numFmtId="2" fontId="0" fillId="0" borderId="29" xfId="0" applyNumberForma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distributed"/>
    </xf>
    <xf numFmtId="0" fontId="0" fillId="0" borderId="38" xfId="0" applyFill="1" applyBorder="1" applyAlignment="1">
      <alignment horizontal="center" vertical="distributed"/>
    </xf>
    <xf numFmtId="2" fontId="0" fillId="0" borderId="39" xfId="0" applyNumberFormat="1" applyFill="1" applyBorder="1" applyAlignment="1">
      <alignment horizontal="center" vertical="distributed"/>
    </xf>
    <xf numFmtId="2" fontId="0" fillId="0" borderId="41" xfId="0" applyNumberFormat="1" applyFill="1" applyBorder="1" applyAlignment="1">
      <alignment horizontal="center" vertical="distributed"/>
    </xf>
    <xf numFmtId="0" fontId="0" fillId="0" borderId="39" xfId="0" applyFill="1" applyBorder="1" applyAlignment="1">
      <alignment horizontal="center" vertical="distributed"/>
    </xf>
    <xf numFmtId="0" fontId="0" fillId="0" borderId="40" xfId="0" applyFill="1" applyBorder="1" applyAlignment="1">
      <alignment horizontal="center" vertical="distributed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2" xfId="0" applyFill="1" applyBorder="1" applyAlignment="1">
      <alignment horizontal="center" vertical="distributed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2" fontId="0" fillId="0" borderId="28" xfId="0" applyNumberFormat="1" applyFill="1" applyBorder="1" applyAlignment="1">
      <alignment horizontal="center" vertical="distributed"/>
    </xf>
    <xf numFmtId="2" fontId="0" fillId="0" borderId="29" xfId="0" applyNumberFormat="1" applyFill="1" applyBorder="1" applyAlignment="1">
      <alignment horizontal="center" vertical="distributed"/>
    </xf>
    <xf numFmtId="0" fontId="0" fillId="0" borderId="0" xfId="0" applyFill="1" applyAlignment="1">
      <alignment horizontal="center" vertical="distributed"/>
    </xf>
    <xf numFmtId="0" fontId="0" fillId="0" borderId="45" xfId="0" applyBorder="1" applyAlignment="1">
      <alignment horizontal="center" vertical="center"/>
    </xf>
    <xf numFmtId="2" fontId="0" fillId="0" borderId="43" xfId="0" applyNumberFormat="1" applyFill="1" applyBorder="1" applyAlignment="1">
      <alignment horizontal="center" vertical="distributed"/>
    </xf>
    <xf numFmtId="2" fontId="0" fillId="0" borderId="40" xfId="0" applyNumberFormat="1" applyFill="1" applyBorder="1" applyAlignment="1">
      <alignment horizontal="center" vertical="distributed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5" fillId="0" borderId="21" xfId="0" applyNumberFormat="1" applyFont="1" applyBorder="1" applyAlignment="1">
      <alignment horizontal="center" vertical="distributed"/>
    </xf>
    <xf numFmtId="0" fontId="5" fillId="0" borderId="20" xfId="0" applyNumberFormat="1" applyFont="1" applyBorder="1" applyAlignment="1">
      <alignment horizontal="center" vertical="distributed"/>
    </xf>
    <xf numFmtId="2" fontId="5" fillId="0" borderId="4" xfId="0" applyNumberFormat="1" applyFont="1" applyBorder="1" applyAlignment="1">
      <alignment horizontal="left" vertical="distributed"/>
    </xf>
    <xf numFmtId="2" fontId="5" fillId="0" borderId="0" xfId="0" applyNumberFormat="1" applyFont="1" applyBorder="1" applyAlignment="1">
      <alignment horizontal="left" vertical="distributed"/>
    </xf>
    <xf numFmtId="2" fontId="5" fillId="0" borderId="5" xfId="0" applyNumberFormat="1" applyFont="1" applyBorder="1" applyAlignment="1">
      <alignment horizontal="left" vertical="distributed"/>
    </xf>
    <xf numFmtId="2" fontId="5" fillId="0" borderId="6" xfId="0" applyNumberFormat="1" applyFont="1" applyBorder="1" applyAlignment="1">
      <alignment horizontal="left" vertical="distributed"/>
    </xf>
    <xf numFmtId="2" fontId="5" fillId="0" borderId="7" xfId="0" applyNumberFormat="1" applyFont="1" applyBorder="1" applyAlignment="1">
      <alignment horizontal="left" vertical="distributed"/>
    </xf>
    <xf numFmtId="2" fontId="5" fillId="0" borderId="8" xfId="0" applyNumberFormat="1" applyFont="1" applyBorder="1" applyAlignment="1">
      <alignment horizontal="left" vertical="distributed"/>
    </xf>
    <xf numFmtId="0" fontId="5" fillId="0" borderId="9" xfId="0" applyNumberFormat="1" applyFont="1" applyFill="1" applyBorder="1" applyAlignment="1">
      <alignment horizontal="center" vertical="distributed"/>
    </xf>
    <xf numFmtId="0" fontId="5" fillId="0" borderId="10" xfId="0" applyNumberFormat="1" applyFont="1" applyFill="1" applyBorder="1" applyAlignment="1">
      <alignment horizontal="center" vertical="distributed"/>
    </xf>
    <xf numFmtId="2" fontId="5" fillId="0" borderId="54" xfId="0" applyNumberFormat="1" applyFont="1" applyBorder="1" applyAlignment="1">
      <alignment horizontal="center" vertical="distributed"/>
    </xf>
    <xf numFmtId="2" fontId="5" fillId="0" borderId="22" xfId="0" applyNumberFormat="1" applyFont="1" applyBorder="1" applyAlignment="1">
      <alignment horizontal="left" vertical="distributed"/>
    </xf>
    <xf numFmtId="2" fontId="5" fillId="0" borderId="15" xfId="0" applyNumberFormat="1" applyFont="1" applyBorder="1" applyAlignment="1">
      <alignment horizontal="left" vertical="distributed"/>
    </xf>
    <xf numFmtId="2" fontId="5" fillId="0" borderId="23" xfId="0" applyNumberFormat="1" applyFont="1" applyBorder="1" applyAlignment="1">
      <alignment horizontal="left" vertical="distributed"/>
    </xf>
    <xf numFmtId="43" fontId="5" fillId="0" borderId="61" xfId="4" applyFont="1" applyBorder="1" applyAlignment="1">
      <alignment horizontal="center" vertical="distributed"/>
    </xf>
    <xf numFmtId="43" fontId="5" fillId="0" borderId="55" xfId="4" applyFont="1" applyBorder="1" applyAlignment="1">
      <alignment horizontal="center" vertical="distributed"/>
    </xf>
    <xf numFmtId="0" fontId="4" fillId="0" borderId="9" xfId="0" applyNumberFormat="1" applyFont="1" applyBorder="1" applyAlignment="1">
      <alignment horizontal="center" vertical="distributed"/>
    </xf>
    <xf numFmtId="0" fontId="4" fillId="0" borderId="10" xfId="0" applyNumberFormat="1" applyFont="1" applyBorder="1" applyAlignment="1">
      <alignment horizontal="center" vertical="distributed"/>
    </xf>
    <xf numFmtId="0" fontId="4" fillId="0" borderId="11" xfId="0" applyNumberFormat="1" applyFont="1" applyBorder="1" applyAlignment="1">
      <alignment horizontal="center" vertical="distributed"/>
    </xf>
    <xf numFmtId="0" fontId="4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 vertical="distributed"/>
    </xf>
    <xf numFmtId="0" fontId="5" fillId="0" borderId="7" xfId="0" applyNumberFormat="1" applyFont="1" applyBorder="1" applyAlignment="1">
      <alignment horizontal="center" vertical="distributed"/>
    </xf>
    <xf numFmtId="0" fontId="5" fillId="0" borderId="8" xfId="0" applyNumberFormat="1" applyFont="1" applyBorder="1" applyAlignment="1">
      <alignment horizontal="center" vertical="distributed"/>
    </xf>
    <xf numFmtId="0" fontId="4" fillId="0" borderId="9" xfId="0" applyFont="1" applyBorder="1" applyAlignment="1">
      <alignment horizontal="center" vertical="distributed"/>
    </xf>
    <xf numFmtId="0" fontId="4" fillId="0" borderId="10" xfId="0" applyFont="1" applyBorder="1" applyAlignment="1">
      <alignment horizontal="center" vertical="distributed"/>
    </xf>
    <xf numFmtId="0" fontId="4" fillId="0" borderId="11" xfId="0" applyFont="1" applyBorder="1" applyAlignment="1">
      <alignment horizontal="center" vertical="distributed"/>
    </xf>
    <xf numFmtId="2" fontId="5" fillId="0" borderId="62" xfId="0" applyNumberFormat="1" applyFont="1" applyBorder="1" applyAlignment="1">
      <alignment horizontal="left" vertical="distributed"/>
    </xf>
    <xf numFmtId="2" fontId="5" fillId="0" borderId="29" xfId="0" applyNumberFormat="1" applyFont="1" applyBorder="1" applyAlignment="1">
      <alignment horizontal="left" vertical="distributed"/>
    </xf>
    <xf numFmtId="2" fontId="5" fillId="0" borderId="60" xfId="0" applyNumberFormat="1" applyFont="1" applyBorder="1" applyAlignment="1">
      <alignment horizontal="left" vertical="distributed"/>
    </xf>
    <xf numFmtId="2" fontId="5" fillId="0" borderId="55" xfId="0" applyNumberFormat="1" applyFont="1" applyBorder="1" applyAlignment="1">
      <alignment horizontal="center" vertical="distributed"/>
    </xf>
    <xf numFmtId="0" fontId="5" fillId="0" borderId="17" xfId="0" applyFont="1" applyBorder="1" applyAlignment="1">
      <alignment horizontal="right" vertical="distributed"/>
    </xf>
    <xf numFmtId="0" fontId="5" fillId="0" borderId="18" xfId="0" applyFont="1" applyBorder="1" applyAlignment="1">
      <alignment horizontal="right" vertical="distributed"/>
    </xf>
    <xf numFmtId="0" fontId="5" fillId="0" borderId="19" xfId="0" applyFont="1" applyBorder="1" applyAlignment="1">
      <alignment horizontal="right" vertical="distributed"/>
    </xf>
    <xf numFmtId="43" fontId="5" fillId="0" borderId="21" xfId="4" applyFont="1" applyBorder="1" applyAlignment="1">
      <alignment horizontal="center" vertical="distributed"/>
    </xf>
    <xf numFmtId="2" fontId="5" fillId="0" borderId="56" xfId="0" applyNumberFormat="1" applyFont="1" applyBorder="1" applyAlignment="1">
      <alignment horizontal="left" vertical="distributed"/>
    </xf>
    <xf numFmtId="2" fontId="5" fillId="0" borderId="44" xfId="0" applyNumberFormat="1" applyFont="1" applyBorder="1" applyAlignment="1">
      <alignment horizontal="left" vertical="distributed"/>
    </xf>
    <xf numFmtId="2" fontId="5" fillId="0" borderId="57" xfId="0" applyNumberFormat="1" applyFont="1" applyBorder="1" applyAlignment="1">
      <alignment horizontal="left" vertical="distributed"/>
    </xf>
    <xf numFmtId="2" fontId="5" fillId="0" borderId="58" xfId="0" applyNumberFormat="1" applyFont="1" applyBorder="1" applyAlignment="1">
      <alignment horizontal="left" vertical="distributed"/>
    </xf>
    <xf numFmtId="2" fontId="5" fillId="0" borderId="14" xfId="0" applyNumberFormat="1" applyFont="1" applyBorder="1" applyAlignment="1">
      <alignment horizontal="left" vertical="distributed"/>
    </xf>
    <xf numFmtId="2" fontId="5" fillId="0" borderId="59" xfId="0" applyNumberFormat="1" applyFont="1" applyBorder="1" applyAlignment="1">
      <alignment horizontal="left" vertical="distributed"/>
    </xf>
    <xf numFmtId="0" fontId="4" fillId="0" borderId="61" xfId="0" applyFont="1" applyBorder="1" applyAlignment="1">
      <alignment horizontal="center" vertical="distributed"/>
    </xf>
    <xf numFmtId="0" fontId="4" fillId="0" borderId="55" xfId="0" applyFont="1" applyBorder="1" applyAlignment="1">
      <alignment horizontal="center" vertical="distributed"/>
    </xf>
    <xf numFmtId="0" fontId="4" fillId="0" borderId="58" xfId="0" applyFont="1" applyBorder="1" applyAlignment="1">
      <alignment horizontal="center" vertical="distributed"/>
    </xf>
    <xf numFmtId="0" fontId="4" fillId="0" borderId="63" xfId="0" applyFont="1" applyBorder="1" applyAlignment="1">
      <alignment horizontal="center" vertical="distributed"/>
    </xf>
    <xf numFmtId="0" fontId="5" fillId="0" borderId="63" xfId="0" applyFont="1" applyBorder="1" applyAlignment="1">
      <alignment horizontal="center" vertical="distributed"/>
    </xf>
  </cellXfs>
  <cellStyles count="9">
    <cellStyle name="Moeda" xfId="8" builtinId="4"/>
    <cellStyle name="Moeda 2" xfId="5"/>
    <cellStyle name="Normal" xfId="0" builtinId="0"/>
    <cellStyle name="Normal 2" xfId="2"/>
    <cellStyle name="Porcentagem 2" xfId="1"/>
    <cellStyle name="Vírgula" xfId="4" builtinId="3"/>
    <cellStyle name="Vírgula 2" xfId="3"/>
    <cellStyle name="Vírgula 2 2" xfId="6"/>
    <cellStyle name="Vírgula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605117</xdr:colOff>
      <xdr:row>2</xdr:row>
      <xdr:rowOff>44825</xdr:rowOff>
    </xdr:from>
    <xdr:to>
      <xdr:col>7</xdr:col>
      <xdr:colOff>470647</xdr:colOff>
      <xdr:row>5</xdr:row>
      <xdr:rowOff>184344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5999" y="44825"/>
          <a:ext cx="986119" cy="1080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2085976</xdr:colOff>
      <xdr:row>0</xdr:row>
      <xdr:rowOff>0</xdr:rowOff>
    </xdr:from>
    <xdr:to>
      <xdr:col>2</xdr:col>
      <xdr:colOff>4448176</xdr:colOff>
      <xdr:row>4</xdr:row>
      <xdr:rowOff>181839</xdr:rowOff>
    </xdr:to>
    <xdr:pic>
      <xdr:nvPicPr>
        <xdr:cNvPr id="3" name="Picture 10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1" y="0"/>
          <a:ext cx="2362200" cy="94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</xdr:row>
      <xdr:rowOff>28575</xdr:rowOff>
    </xdr:from>
    <xdr:to>
      <xdr:col>7</xdr:col>
      <xdr:colOff>285749</xdr:colOff>
      <xdr:row>4</xdr:row>
      <xdr:rowOff>171450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7D2A287-F143-4817-989E-7895490347EE}"/>
            </a:ext>
          </a:extLst>
        </xdr:cNvPr>
        <xdr:cNvSpPr txBox="1"/>
      </xdr:nvSpPr>
      <xdr:spPr>
        <a:xfrm>
          <a:off x="4257675" y="228600"/>
          <a:ext cx="1523999" cy="7334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>
              <a:solidFill>
                <a:sysClr val="windowText" lastClr="000000"/>
              </a:solidFill>
            </a:rPr>
            <a:t>ZAMIRA M. C. VIEIRA</a:t>
          </a:r>
        </a:p>
        <a:p>
          <a:r>
            <a:rPr lang="pt-BR" sz="1100"/>
            <a:t>           EN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G.CIVIL</a:t>
          </a:r>
          <a:endParaRPr lang="pt-BR" sz="1100"/>
        </a:p>
        <a:p>
          <a:r>
            <a:rPr lang="pt-BR" sz="1100"/>
            <a:t>   CREA-MG  </a:t>
          </a:r>
          <a:r>
            <a:rPr lang="pt-BR" sz="1100">
              <a:solidFill>
                <a:sysClr val="windowText" lastClr="000000"/>
              </a:solidFill>
            </a:rPr>
            <a:t>67.585</a:t>
          </a:r>
        </a:p>
      </xdr:txBody>
    </xdr:sp>
    <xdr:clientData/>
  </xdr:twoCellAnchor>
  <xdr:twoCellAnchor editAs="oneCell">
    <xdr:from>
      <xdr:col>7</xdr:col>
      <xdr:colOff>390526</xdr:colOff>
      <xdr:row>0</xdr:row>
      <xdr:rowOff>28575</xdr:rowOff>
    </xdr:from>
    <xdr:to>
      <xdr:col>8</xdr:col>
      <xdr:colOff>608536</xdr:colOff>
      <xdr:row>4</xdr:row>
      <xdr:rowOff>228600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1" y="28575"/>
          <a:ext cx="90381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8"/>
  <sheetViews>
    <sheetView tabSelected="1" view="pageBreakPreview" topLeftCell="A3" zoomScale="85" zoomScaleNormal="70" zoomScaleSheetLayoutView="85" workbookViewId="0">
      <selection activeCell="C16" sqref="C16"/>
    </sheetView>
  </sheetViews>
  <sheetFormatPr defaultRowHeight="15" x14ac:dyDescent="0.25"/>
  <cols>
    <col min="1" max="1" width="9.140625" style="9"/>
    <col min="2" max="2" width="15.140625" style="13" customWidth="1"/>
    <col min="3" max="3" width="72.5703125" style="9" bestFit="1" customWidth="1"/>
    <col min="4" max="4" width="12.5703125" style="13" bestFit="1" customWidth="1"/>
    <col min="5" max="5" width="12.42578125" style="9" customWidth="1"/>
    <col min="6" max="6" width="17.5703125" style="28" customWidth="1"/>
    <col min="7" max="7" width="16.85546875" style="9" customWidth="1"/>
    <col min="8" max="8" width="18.140625" style="9" customWidth="1"/>
    <col min="9" max="9" width="9.140625" style="9"/>
    <col min="10" max="10" width="10.7109375" style="9" bestFit="1" customWidth="1"/>
    <col min="11" max="11" width="14.140625" style="9" customWidth="1"/>
    <col min="12" max="12" width="15.42578125" style="9" customWidth="1"/>
    <col min="13" max="16384" width="9.140625" style="9"/>
  </cols>
  <sheetData>
    <row r="1" spans="1:11" hidden="1" x14ac:dyDescent="0.25">
      <c r="A1" s="165"/>
      <c r="B1" s="166"/>
      <c r="C1" s="166"/>
      <c r="D1" s="166"/>
      <c r="E1" s="166"/>
      <c r="F1" s="166"/>
      <c r="G1" s="166"/>
      <c r="H1" s="167"/>
    </row>
    <row r="2" spans="1:11" hidden="1" x14ac:dyDescent="0.25">
      <c r="A2" s="165"/>
      <c r="B2" s="166"/>
      <c r="C2" s="166"/>
      <c r="D2" s="166"/>
      <c r="E2" s="166"/>
      <c r="F2" s="166"/>
      <c r="G2" s="166"/>
      <c r="H2" s="167"/>
    </row>
    <row r="3" spans="1:11" ht="15" customHeight="1" x14ac:dyDescent="0.25">
      <c r="A3" s="146" t="s">
        <v>0</v>
      </c>
      <c r="B3" s="147"/>
      <c r="C3" s="147"/>
      <c r="D3" s="147"/>
      <c r="E3" s="147"/>
      <c r="F3" s="148"/>
      <c r="G3" s="158"/>
      <c r="H3" s="159"/>
    </row>
    <row r="4" spans="1:11" ht="43.5" customHeight="1" x14ac:dyDescent="0.25">
      <c r="A4" s="149"/>
      <c r="B4" s="150"/>
      <c r="C4" s="150"/>
      <c r="D4" s="150"/>
      <c r="E4" s="150"/>
      <c r="F4" s="151"/>
      <c r="G4" s="160"/>
      <c r="H4" s="161"/>
    </row>
    <row r="5" spans="1:11" ht="15.75" x14ac:dyDescent="0.25">
      <c r="A5" s="113" t="s">
        <v>19</v>
      </c>
      <c r="B5" s="152" t="s">
        <v>121</v>
      </c>
      <c r="C5" s="153"/>
      <c r="D5" s="153"/>
      <c r="E5" s="153"/>
      <c r="F5" s="154"/>
      <c r="G5" s="160"/>
      <c r="H5" s="161"/>
    </row>
    <row r="6" spans="1:11" ht="15.75" customHeight="1" x14ac:dyDescent="0.25">
      <c r="A6" s="113" t="s">
        <v>117</v>
      </c>
      <c r="B6" s="155" t="s">
        <v>153</v>
      </c>
      <c r="C6" s="156"/>
      <c r="D6" s="156"/>
      <c r="E6" s="156"/>
      <c r="F6" s="157"/>
      <c r="G6" s="162"/>
      <c r="H6" s="163"/>
    </row>
    <row r="7" spans="1:11" ht="16.5" customHeight="1" x14ac:dyDescent="0.25">
      <c r="A7" s="113" t="s">
        <v>118</v>
      </c>
      <c r="B7" s="144" t="s">
        <v>122</v>
      </c>
      <c r="C7" s="144"/>
      <c r="D7" s="144"/>
      <c r="E7" s="145"/>
      <c r="F7" s="56" t="s">
        <v>123</v>
      </c>
      <c r="G7" s="114" t="s">
        <v>124</v>
      </c>
      <c r="H7" s="116" t="s">
        <v>154</v>
      </c>
    </row>
    <row r="8" spans="1:11" ht="32.25" customHeight="1" x14ac:dyDescent="0.25">
      <c r="A8" s="113" t="s">
        <v>119</v>
      </c>
      <c r="B8" s="142" t="s">
        <v>120</v>
      </c>
      <c r="C8" s="143"/>
      <c r="D8" s="143"/>
      <c r="E8" s="143"/>
      <c r="F8" s="115" t="s">
        <v>1</v>
      </c>
      <c r="G8" s="141">
        <v>0.22800000000000001</v>
      </c>
      <c r="H8" s="141"/>
    </row>
    <row r="9" spans="1:11" ht="26.25" thickBot="1" x14ac:dyDescent="0.3">
      <c r="A9" s="1" t="s">
        <v>2</v>
      </c>
      <c r="B9" s="139" t="s">
        <v>3</v>
      </c>
      <c r="C9" s="140"/>
      <c r="D9" s="1" t="s">
        <v>4</v>
      </c>
      <c r="E9" s="1" t="s">
        <v>5</v>
      </c>
      <c r="F9" s="26" t="s">
        <v>6</v>
      </c>
      <c r="G9" s="2" t="s">
        <v>7</v>
      </c>
      <c r="H9" s="2" t="s">
        <v>8</v>
      </c>
      <c r="J9" s="10"/>
    </row>
    <row r="10" spans="1:11" s="14" customFormat="1" ht="18" customHeight="1" thickBot="1" x14ac:dyDescent="0.3">
      <c r="A10" s="33">
        <v>1</v>
      </c>
      <c r="B10" s="136" t="s">
        <v>95</v>
      </c>
      <c r="C10" s="137"/>
      <c r="D10" s="137"/>
      <c r="E10" s="137"/>
      <c r="F10" s="137"/>
      <c r="G10" s="137"/>
      <c r="H10" s="138"/>
    </row>
    <row r="11" spans="1:11" s="14" customFormat="1" ht="30" customHeight="1" x14ac:dyDescent="0.25">
      <c r="A11" s="21" t="s">
        <v>11</v>
      </c>
      <c r="B11" s="72" t="s">
        <v>96</v>
      </c>
      <c r="C11" s="34" t="s">
        <v>98</v>
      </c>
      <c r="D11" s="21" t="s">
        <v>97</v>
      </c>
      <c r="E11" s="21">
        <v>1</v>
      </c>
      <c r="F11" s="43">
        <f>G11/1.2499</f>
        <v>662.09296743739492</v>
      </c>
      <c r="G11" s="80">
        <f>ROUND((H18+H25+H33+H39+H42)*0.0623,2)</f>
        <v>827.55</v>
      </c>
      <c r="H11" s="61">
        <f>ROUND(E11*G11,2)</f>
        <v>827.55</v>
      </c>
    </row>
    <row r="12" spans="1:11" ht="15.75" thickBot="1" x14ac:dyDescent="0.3">
      <c r="A12" s="174"/>
      <c r="B12" s="174"/>
      <c r="C12" s="174"/>
      <c r="D12" s="174"/>
      <c r="E12" s="174"/>
      <c r="F12" s="140"/>
      <c r="G12" s="118" t="s">
        <v>10</v>
      </c>
      <c r="H12" s="79">
        <f>ROUND(SUM(H11),2)</f>
        <v>827.55</v>
      </c>
      <c r="J12" s="10"/>
    </row>
    <row r="13" spans="1:11" ht="18" customHeight="1" thickBot="1" x14ac:dyDescent="0.3">
      <c r="A13" s="33">
        <v>2</v>
      </c>
      <c r="B13" s="136" t="s">
        <v>9</v>
      </c>
      <c r="C13" s="137"/>
      <c r="D13" s="137"/>
      <c r="E13" s="137"/>
      <c r="F13" s="137"/>
      <c r="G13" s="137"/>
      <c r="H13" s="138"/>
    </row>
    <row r="14" spans="1:11" ht="53.1" customHeight="1" x14ac:dyDescent="0.25">
      <c r="A14" s="21" t="s">
        <v>36</v>
      </c>
      <c r="B14" s="41" t="s">
        <v>47</v>
      </c>
      <c r="C14" s="34" t="s">
        <v>46</v>
      </c>
      <c r="D14" s="21" t="s">
        <v>48</v>
      </c>
      <c r="E14" s="35">
        <f>'Memória de Cálculo'!E11</f>
        <v>1</v>
      </c>
      <c r="F14" s="42">
        <v>1109.6199999999999</v>
      </c>
      <c r="G14" s="43">
        <f>ROUND(F14*($G$8+1),2)</f>
        <v>1362.61</v>
      </c>
      <c r="H14" s="43">
        <f>ROUND(G14*E14,2)</f>
        <v>1362.61</v>
      </c>
      <c r="J14" s="55"/>
      <c r="K14" s="55"/>
    </row>
    <row r="15" spans="1:11" ht="53.1" customHeight="1" x14ac:dyDescent="0.25">
      <c r="A15" s="21" t="s">
        <v>37</v>
      </c>
      <c r="B15" s="40" t="s">
        <v>102</v>
      </c>
      <c r="C15" s="34" t="s">
        <v>103</v>
      </c>
      <c r="D15" s="11" t="s">
        <v>50</v>
      </c>
      <c r="E15" s="12">
        <v>2</v>
      </c>
      <c r="F15" s="38">
        <v>613.30999999999995</v>
      </c>
      <c r="G15" s="39">
        <f>ROUND(F15*($G$8+1),2)</f>
        <v>753.14</v>
      </c>
      <c r="H15" s="39">
        <f>ROUND(G15*E15,2)</f>
        <v>1506.28</v>
      </c>
      <c r="J15" s="55"/>
      <c r="K15" s="55"/>
    </row>
    <row r="16" spans="1:11" ht="30" customHeight="1" x14ac:dyDescent="0.25">
      <c r="A16" s="21" t="s">
        <v>38</v>
      </c>
      <c r="B16" s="40" t="s">
        <v>52</v>
      </c>
      <c r="C16" s="20" t="s">
        <v>51</v>
      </c>
      <c r="D16" s="11" t="s">
        <v>48</v>
      </c>
      <c r="E16" s="12">
        <f>'Memória de Cálculo'!E15</f>
        <v>1</v>
      </c>
      <c r="F16" s="38">
        <v>680</v>
      </c>
      <c r="G16" s="62">
        <f>ROUND(F16*($G$8+1),2)</f>
        <v>835.04</v>
      </c>
      <c r="H16" s="62">
        <f>ROUND(G16*E16,2)</f>
        <v>835.04</v>
      </c>
      <c r="J16" s="55"/>
      <c r="K16" s="55"/>
    </row>
    <row r="17" spans="1:63" ht="18" customHeight="1" x14ac:dyDescent="0.25">
      <c r="A17" s="21" t="s">
        <v>70</v>
      </c>
      <c r="B17" s="86" t="s">
        <v>104</v>
      </c>
      <c r="C17" s="20" t="s">
        <v>105</v>
      </c>
      <c r="D17" s="11" t="s">
        <v>50</v>
      </c>
      <c r="E17" s="12">
        <v>2</v>
      </c>
      <c r="F17" s="38">
        <f>'Memória de Cálculo'!E17</f>
        <v>1</v>
      </c>
      <c r="G17" s="62">
        <f>ROUND(F17*($G$8+1),2)</f>
        <v>1.23</v>
      </c>
      <c r="H17" s="62">
        <f>ROUND(G17*E17,2)</f>
        <v>2.46</v>
      </c>
      <c r="J17" s="55"/>
      <c r="K17" s="55"/>
    </row>
    <row r="18" spans="1:63" ht="15.75" thickBot="1" x14ac:dyDescent="0.3">
      <c r="A18" s="171"/>
      <c r="B18" s="172"/>
      <c r="C18" s="172"/>
      <c r="D18" s="172"/>
      <c r="E18" s="172"/>
      <c r="F18" s="173"/>
      <c r="G18" s="117" t="s">
        <v>10</v>
      </c>
      <c r="H18" s="79">
        <f>ROUND(SUM(H14:H17),2)</f>
        <v>3706.39</v>
      </c>
      <c r="J18" s="55"/>
      <c r="K18" s="55"/>
    </row>
    <row r="19" spans="1:63" ht="18" customHeight="1" thickBot="1" x14ac:dyDescent="0.3">
      <c r="A19" s="33">
        <v>3</v>
      </c>
      <c r="B19" s="136" t="s">
        <v>84</v>
      </c>
      <c r="C19" s="137"/>
      <c r="D19" s="137"/>
      <c r="E19" s="137"/>
      <c r="F19" s="137"/>
      <c r="G19" s="137"/>
      <c r="H19" s="138"/>
      <c r="J19" s="55"/>
      <c r="K19" s="55"/>
    </row>
    <row r="20" spans="1:63" ht="18" customHeight="1" x14ac:dyDescent="0.25">
      <c r="A20" s="21" t="s">
        <v>39</v>
      </c>
      <c r="B20" s="40" t="s">
        <v>55</v>
      </c>
      <c r="C20" s="20" t="s">
        <v>54</v>
      </c>
      <c r="D20" s="11" t="s">
        <v>53</v>
      </c>
      <c r="E20" s="12">
        <f>'Memória de Cálculo'!E20</f>
        <v>18.75</v>
      </c>
      <c r="F20" s="38">
        <v>3.3</v>
      </c>
      <c r="G20" s="62">
        <f t="shared" ref="G20:G24" si="0">ROUND(F20*($G$8+1),2)</f>
        <v>4.05</v>
      </c>
      <c r="H20" s="39">
        <f t="shared" ref="H20:H24" si="1">ROUND(G20*E20,2)</f>
        <v>75.94</v>
      </c>
      <c r="J20" s="55"/>
      <c r="K20" s="55"/>
    </row>
    <row r="21" spans="1:63" ht="18" customHeight="1" x14ac:dyDescent="0.25">
      <c r="A21" s="21" t="s">
        <v>41</v>
      </c>
      <c r="B21" s="40" t="s">
        <v>57</v>
      </c>
      <c r="C21" s="20" t="s">
        <v>56</v>
      </c>
      <c r="D21" s="11" t="s">
        <v>49</v>
      </c>
      <c r="E21" s="12">
        <f>'Memória de Cálculo'!E22</f>
        <v>16.5</v>
      </c>
      <c r="F21" s="38">
        <v>8.85</v>
      </c>
      <c r="G21" s="62">
        <f t="shared" si="0"/>
        <v>10.87</v>
      </c>
      <c r="H21" s="39">
        <f t="shared" si="1"/>
        <v>179.36</v>
      </c>
      <c r="J21" s="55"/>
      <c r="K21" s="55"/>
    </row>
    <row r="22" spans="1:63" ht="18" customHeight="1" x14ac:dyDescent="0.25">
      <c r="A22" s="21" t="s">
        <v>65</v>
      </c>
      <c r="B22" s="40" t="s">
        <v>59</v>
      </c>
      <c r="C22" s="20" t="s">
        <v>58</v>
      </c>
      <c r="D22" s="11" t="s">
        <v>53</v>
      </c>
      <c r="E22" s="12">
        <f>'Memória de Cálculo'!E24</f>
        <v>13.639712479413445</v>
      </c>
      <c r="F22" s="38">
        <v>31.44</v>
      </c>
      <c r="G22" s="62">
        <f t="shared" si="0"/>
        <v>38.61</v>
      </c>
      <c r="H22" s="39">
        <f t="shared" si="1"/>
        <v>526.63</v>
      </c>
      <c r="J22" s="55"/>
      <c r="K22" s="55"/>
    </row>
    <row r="23" spans="1:63" ht="30" customHeight="1" x14ac:dyDescent="0.25">
      <c r="A23" s="21" t="s">
        <v>130</v>
      </c>
      <c r="B23" s="112" t="s">
        <v>127</v>
      </c>
      <c r="C23" s="20" t="s">
        <v>131</v>
      </c>
      <c r="D23" s="11" t="s">
        <v>53</v>
      </c>
      <c r="E23" s="12">
        <f>'Memória de Cálculo'!E27</f>
        <v>0.72</v>
      </c>
      <c r="F23" s="38">
        <v>31.44</v>
      </c>
      <c r="G23" s="62">
        <f>ROUND(F23*($G$8+1),2)</f>
        <v>38.61</v>
      </c>
      <c r="H23" s="39">
        <f t="shared" si="1"/>
        <v>27.8</v>
      </c>
      <c r="J23" s="55"/>
      <c r="K23" s="55"/>
    </row>
    <row r="24" spans="1:63" s="63" customFormat="1" ht="18" customHeight="1" x14ac:dyDescent="0.2">
      <c r="A24" s="21" t="s">
        <v>138</v>
      </c>
      <c r="B24" s="40" t="s">
        <v>81</v>
      </c>
      <c r="C24" s="20" t="s">
        <v>82</v>
      </c>
      <c r="D24" s="69" t="s">
        <v>53</v>
      </c>
      <c r="E24" s="108">
        <f>'Memória de Cálculo'!E29</f>
        <v>0.56000000000000005</v>
      </c>
      <c r="F24" s="109">
        <v>218.93</v>
      </c>
      <c r="G24" s="62">
        <f t="shared" si="0"/>
        <v>268.85000000000002</v>
      </c>
      <c r="H24" s="39">
        <f t="shared" si="1"/>
        <v>150.56</v>
      </c>
      <c r="J24" s="64"/>
      <c r="K24" s="65"/>
      <c r="L24" s="64"/>
      <c r="M24" s="65"/>
      <c r="N24" s="64"/>
      <c r="O24" s="65"/>
      <c r="P24" s="64"/>
      <c r="Q24" s="65"/>
      <c r="R24" s="64"/>
      <c r="S24" s="65"/>
      <c r="T24" s="64"/>
      <c r="U24" s="65"/>
      <c r="V24" s="64"/>
      <c r="W24" s="65"/>
      <c r="X24" s="64"/>
      <c r="Y24" s="65"/>
      <c r="Z24" s="64"/>
      <c r="AA24" s="65"/>
      <c r="AB24" s="64"/>
      <c r="AC24" s="65"/>
      <c r="AD24" s="66"/>
      <c r="AE24" s="64"/>
      <c r="AF24" s="65"/>
      <c r="AG24" s="64"/>
      <c r="AH24" s="65"/>
      <c r="AI24" s="64"/>
      <c r="AJ24" s="65"/>
      <c r="AK24" s="64"/>
      <c r="AL24" s="65"/>
      <c r="AM24" s="64"/>
      <c r="AN24" s="65"/>
      <c r="AO24" s="64"/>
      <c r="AP24" s="65"/>
      <c r="AQ24" s="64"/>
      <c r="AR24" s="65"/>
      <c r="AS24" s="64"/>
      <c r="AT24" s="65"/>
      <c r="AU24" s="66"/>
      <c r="AV24" s="64"/>
      <c r="AW24" s="65"/>
      <c r="AX24" s="64"/>
      <c r="AY24" s="65"/>
      <c r="AZ24" s="64"/>
      <c r="BA24" s="65"/>
      <c r="BB24" s="64"/>
      <c r="BC24" s="65"/>
      <c r="BD24" s="64"/>
      <c r="BE24" s="65"/>
      <c r="BF24" s="64"/>
      <c r="BG24" s="65"/>
      <c r="BH24" s="64"/>
      <c r="BI24" s="65"/>
      <c r="BJ24" s="64"/>
      <c r="BK24" s="65"/>
    </row>
    <row r="25" spans="1:63" ht="15.75" thickBot="1" x14ac:dyDescent="0.3">
      <c r="A25" s="171"/>
      <c r="B25" s="172"/>
      <c r="C25" s="172"/>
      <c r="D25" s="172"/>
      <c r="E25" s="172"/>
      <c r="F25" s="173"/>
      <c r="G25" s="117" t="s">
        <v>10</v>
      </c>
      <c r="H25" s="79">
        <f>ROUND(SUM(H20:H24),2)</f>
        <v>960.29</v>
      </c>
      <c r="J25" s="55"/>
      <c r="K25" s="55"/>
    </row>
    <row r="26" spans="1:63" ht="18" customHeight="1" thickBot="1" x14ac:dyDescent="0.3">
      <c r="A26" s="33">
        <v>4</v>
      </c>
      <c r="B26" s="136" t="s">
        <v>60</v>
      </c>
      <c r="C26" s="175"/>
      <c r="D26" s="175"/>
      <c r="E26" s="175"/>
      <c r="F26" s="175"/>
      <c r="G26" s="175"/>
      <c r="H26" s="176"/>
      <c r="J26" s="55"/>
      <c r="K26" s="55"/>
    </row>
    <row r="27" spans="1:63" ht="30" customHeight="1" x14ac:dyDescent="0.25">
      <c r="A27" s="21" t="s">
        <v>42</v>
      </c>
      <c r="B27" s="40" t="s">
        <v>126</v>
      </c>
      <c r="C27" s="20" t="s">
        <v>125</v>
      </c>
      <c r="D27" s="11" t="s">
        <v>12</v>
      </c>
      <c r="E27" s="12">
        <f>'Memória de Cálculo'!E31</f>
        <v>15</v>
      </c>
      <c r="F27" s="38">
        <v>51.06</v>
      </c>
      <c r="G27" s="39">
        <f t="shared" ref="G27:G32" si="2">ROUND(F27*($G$8+1),2)</f>
        <v>62.7</v>
      </c>
      <c r="H27" s="39">
        <f t="shared" ref="H27:H32" si="3">ROUND(G27*E27,2)</f>
        <v>940.5</v>
      </c>
      <c r="J27" s="55"/>
      <c r="K27" s="55"/>
    </row>
    <row r="28" spans="1:63" ht="24" x14ac:dyDescent="0.25">
      <c r="A28" s="21" t="s">
        <v>43</v>
      </c>
      <c r="B28" s="40" t="s">
        <v>62</v>
      </c>
      <c r="C28" s="20" t="s">
        <v>61</v>
      </c>
      <c r="D28" s="11" t="s">
        <v>53</v>
      </c>
      <c r="E28" s="12">
        <f>'Memória de Cálculo'!E33</f>
        <v>1.05</v>
      </c>
      <c r="F28" s="38">
        <v>353.55</v>
      </c>
      <c r="G28" s="39">
        <f t="shared" si="2"/>
        <v>434.16</v>
      </c>
      <c r="H28" s="39">
        <f t="shared" si="3"/>
        <v>455.87</v>
      </c>
      <c r="J28" s="55"/>
      <c r="K28" s="55"/>
    </row>
    <row r="29" spans="1:63" ht="30" customHeight="1" x14ac:dyDescent="0.25">
      <c r="A29" s="21" t="s">
        <v>44</v>
      </c>
      <c r="B29" s="40" t="s">
        <v>74</v>
      </c>
      <c r="C29" s="20" t="s">
        <v>73</v>
      </c>
      <c r="D29" s="11" t="s">
        <v>48</v>
      </c>
      <c r="E29" s="12">
        <v>1</v>
      </c>
      <c r="F29" s="38">
        <v>1321.89</v>
      </c>
      <c r="G29" s="39">
        <f t="shared" si="2"/>
        <v>1623.28</v>
      </c>
      <c r="H29" s="39">
        <f t="shared" si="3"/>
        <v>1623.28</v>
      </c>
      <c r="J29" s="55"/>
      <c r="K29" s="55"/>
    </row>
    <row r="30" spans="1:63" ht="30" customHeight="1" x14ac:dyDescent="0.25">
      <c r="A30" s="21" t="s">
        <v>107</v>
      </c>
      <c r="B30" s="40" t="s">
        <v>64</v>
      </c>
      <c r="C30" s="20" t="s">
        <v>63</v>
      </c>
      <c r="D30" s="11" t="s">
        <v>48</v>
      </c>
      <c r="E30" s="12">
        <f>'Memória de Cálculo'!E35</f>
        <v>2</v>
      </c>
      <c r="F30" s="38">
        <v>829.2</v>
      </c>
      <c r="G30" s="62">
        <f t="shared" si="2"/>
        <v>1018.26</v>
      </c>
      <c r="H30" s="62">
        <f t="shared" si="3"/>
        <v>2036.52</v>
      </c>
      <c r="J30" s="55"/>
      <c r="K30" s="55"/>
    </row>
    <row r="31" spans="1:63" ht="30" customHeight="1" x14ac:dyDescent="0.25">
      <c r="A31" s="21" t="s">
        <v>134</v>
      </c>
      <c r="B31" s="86" t="s">
        <v>135</v>
      </c>
      <c r="C31" s="20" t="s">
        <v>142</v>
      </c>
      <c r="D31" s="21" t="s">
        <v>12</v>
      </c>
      <c r="E31" s="128">
        <f>'Memória de Cálculo'!E37</f>
        <v>12</v>
      </c>
      <c r="F31" s="38">
        <v>32.92</v>
      </c>
      <c r="G31" s="62">
        <f t="shared" si="2"/>
        <v>40.43</v>
      </c>
      <c r="H31" s="62">
        <f t="shared" si="3"/>
        <v>485.16</v>
      </c>
      <c r="J31" s="55"/>
      <c r="K31" s="55"/>
    </row>
    <row r="32" spans="1:63" ht="42.95" customHeight="1" x14ac:dyDescent="0.25">
      <c r="A32" s="21" t="s">
        <v>136</v>
      </c>
      <c r="B32" s="86" t="s">
        <v>133</v>
      </c>
      <c r="C32" s="44" t="s">
        <v>132</v>
      </c>
      <c r="D32" s="124" t="s">
        <v>49</v>
      </c>
      <c r="E32" s="128">
        <f>'Memória de Cálculo'!E39</f>
        <v>10.5</v>
      </c>
      <c r="F32" s="38">
        <v>54.27</v>
      </c>
      <c r="G32" s="62">
        <f t="shared" si="2"/>
        <v>66.64</v>
      </c>
      <c r="H32" s="62">
        <f t="shared" si="3"/>
        <v>699.72</v>
      </c>
      <c r="J32" s="55"/>
      <c r="K32" s="55"/>
    </row>
    <row r="33" spans="1:11" ht="15.75" thickBot="1" x14ac:dyDescent="0.3">
      <c r="A33" s="168"/>
      <c r="B33" s="169"/>
      <c r="C33" s="169"/>
      <c r="D33" s="169"/>
      <c r="E33" s="169"/>
      <c r="F33" s="170"/>
      <c r="G33" s="117" t="s">
        <v>10</v>
      </c>
      <c r="H33" s="79">
        <f>ROUND(SUM(H27:H32),2)</f>
        <v>6241.05</v>
      </c>
      <c r="J33" s="55"/>
      <c r="K33" s="55"/>
    </row>
    <row r="34" spans="1:11" ht="18" customHeight="1" thickBot="1" x14ac:dyDescent="0.3">
      <c r="A34" s="33">
        <v>5</v>
      </c>
      <c r="B34" s="136" t="s">
        <v>83</v>
      </c>
      <c r="C34" s="175"/>
      <c r="D34" s="175"/>
      <c r="E34" s="175"/>
      <c r="F34" s="175"/>
      <c r="G34" s="175"/>
      <c r="H34" s="177"/>
      <c r="J34" s="55"/>
      <c r="K34" s="55"/>
    </row>
    <row r="35" spans="1:11" ht="30" customHeight="1" x14ac:dyDescent="0.25">
      <c r="A35" s="121" t="s">
        <v>45</v>
      </c>
      <c r="B35" s="122" t="s">
        <v>75</v>
      </c>
      <c r="C35" s="123" t="s">
        <v>78</v>
      </c>
      <c r="D35" s="124" t="s">
        <v>49</v>
      </c>
      <c r="E35" s="125">
        <f>'Memória de Cálculo'!E43</f>
        <v>10.5</v>
      </c>
      <c r="F35" s="126">
        <v>43.08</v>
      </c>
      <c r="G35" s="80">
        <f>ROUND(F35*($G$8+1),2)</f>
        <v>52.9</v>
      </c>
      <c r="H35" s="125">
        <f>ROUND(SUM(G35*E35),2)</f>
        <v>555.45000000000005</v>
      </c>
      <c r="J35" s="55"/>
      <c r="K35" s="55"/>
    </row>
    <row r="36" spans="1:11" ht="30" customHeight="1" x14ac:dyDescent="0.25">
      <c r="A36" s="107" t="s">
        <v>108</v>
      </c>
      <c r="B36" s="67" t="s">
        <v>76</v>
      </c>
      <c r="C36" s="68" t="s">
        <v>79</v>
      </c>
      <c r="D36" s="69" t="s">
        <v>53</v>
      </c>
      <c r="E36" s="70">
        <f>'Memória de Cálculo'!E46</f>
        <v>0.24000000000000005</v>
      </c>
      <c r="F36" s="85">
        <v>1972.89</v>
      </c>
      <c r="G36" s="62">
        <f>ROUND(F36*($G$8+1),2)</f>
        <v>2422.71</v>
      </c>
      <c r="H36" s="70">
        <f>ROUND(SUM(G36*E36),2)</f>
        <v>581.45000000000005</v>
      </c>
      <c r="J36" s="55"/>
      <c r="K36" s="55"/>
    </row>
    <row r="37" spans="1:11" ht="30" customHeight="1" x14ac:dyDescent="0.25">
      <c r="A37" s="107" t="s">
        <v>109</v>
      </c>
      <c r="B37" s="67" t="s">
        <v>77</v>
      </c>
      <c r="C37" s="68" t="s">
        <v>80</v>
      </c>
      <c r="D37" s="69" t="s">
        <v>53</v>
      </c>
      <c r="E37" s="70">
        <f>'Memória de Cálculo'!E48</f>
        <v>0.63</v>
      </c>
      <c r="F37" s="85">
        <v>1528.93</v>
      </c>
      <c r="G37" s="62">
        <f>ROUND(F37*($G$8+1),2)</f>
        <v>1877.53</v>
      </c>
      <c r="H37" s="70">
        <f>ROUND(SUM(G37*E37),2)</f>
        <v>1182.8399999999999</v>
      </c>
      <c r="J37" s="55"/>
      <c r="K37" s="55"/>
    </row>
    <row r="38" spans="1:11" ht="30" customHeight="1" x14ac:dyDescent="0.25">
      <c r="A38" s="107" t="s">
        <v>110</v>
      </c>
      <c r="B38" s="110" t="s">
        <v>112</v>
      </c>
      <c r="C38" s="68" t="s">
        <v>114</v>
      </c>
      <c r="D38" s="69" t="s">
        <v>113</v>
      </c>
      <c r="E38" s="70">
        <f>'Memória de Cálculo'!E50</f>
        <v>3.6</v>
      </c>
      <c r="F38" s="85">
        <v>3.75</v>
      </c>
      <c r="G38" s="62">
        <f>ROUND(F38*($G$8+1),2)</f>
        <v>4.6100000000000003</v>
      </c>
      <c r="H38" s="70">
        <f>ROUND(SUM(G38*E38),2)</f>
        <v>16.600000000000001</v>
      </c>
      <c r="J38" s="55"/>
      <c r="K38" s="55"/>
    </row>
    <row r="39" spans="1:11" ht="15.75" thickBot="1" x14ac:dyDescent="0.3">
      <c r="A39" s="183"/>
      <c r="B39" s="184"/>
      <c r="C39" s="184"/>
      <c r="D39" s="184"/>
      <c r="E39" s="184"/>
      <c r="F39" s="185"/>
      <c r="G39" s="119" t="s">
        <v>10</v>
      </c>
      <c r="H39" s="120">
        <f>ROUND(SUM(H35:H38),2)</f>
        <v>2336.34</v>
      </c>
      <c r="J39" s="55"/>
      <c r="K39" s="55"/>
    </row>
    <row r="40" spans="1:11" ht="18" customHeight="1" thickBot="1" x14ac:dyDescent="0.3">
      <c r="A40" s="33">
        <v>6</v>
      </c>
      <c r="B40" s="136" t="s">
        <v>67</v>
      </c>
      <c r="C40" s="175"/>
      <c r="D40" s="175"/>
      <c r="E40" s="175"/>
      <c r="F40" s="175"/>
      <c r="G40" s="175"/>
      <c r="H40" s="176"/>
      <c r="J40" s="55"/>
      <c r="K40" s="55"/>
    </row>
    <row r="41" spans="1:11" ht="30" customHeight="1" x14ac:dyDescent="0.25">
      <c r="A41" s="11" t="s">
        <v>147</v>
      </c>
      <c r="B41" s="40" t="s">
        <v>68</v>
      </c>
      <c r="C41" s="20" t="s">
        <v>66</v>
      </c>
      <c r="D41" s="36" t="s">
        <v>69</v>
      </c>
      <c r="E41" s="37">
        <f>'Memória de Cálculo'!E53</f>
        <v>9.585431280879833</v>
      </c>
      <c r="F41" s="38">
        <v>3.33</v>
      </c>
      <c r="G41" s="62">
        <f>ROUND(F41*($G$8+1),2)</f>
        <v>4.09</v>
      </c>
      <c r="H41" s="62">
        <f>ROUND(G41*E41,2)</f>
        <v>39.200000000000003</v>
      </c>
      <c r="J41" s="55"/>
      <c r="K41" s="55"/>
    </row>
    <row r="42" spans="1:11" ht="15.75" thickBot="1" x14ac:dyDescent="0.3">
      <c r="A42" s="171"/>
      <c r="B42" s="172"/>
      <c r="C42" s="172"/>
      <c r="D42" s="172"/>
      <c r="E42" s="172"/>
      <c r="F42" s="173"/>
      <c r="G42" s="117" t="s">
        <v>10</v>
      </c>
      <c r="H42" s="79">
        <f>ROUND(SUM(H41),2)</f>
        <v>39.200000000000003</v>
      </c>
      <c r="J42" s="55"/>
      <c r="K42" s="55"/>
    </row>
    <row r="43" spans="1:11" s="6" customFormat="1" ht="18" customHeight="1" thickBot="1" x14ac:dyDescent="0.3">
      <c r="A43" s="33">
        <v>7</v>
      </c>
      <c r="B43" s="136" t="s">
        <v>99</v>
      </c>
      <c r="C43" s="175"/>
      <c r="D43" s="175"/>
      <c r="E43" s="175"/>
      <c r="F43" s="175"/>
      <c r="G43" s="175"/>
      <c r="H43" s="176"/>
    </row>
    <row r="44" spans="1:11" s="73" customFormat="1" ht="30" customHeight="1" x14ac:dyDescent="0.25">
      <c r="A44" s="11" t="s">
        <v>111</v>
      </c>
      <c r="B44" s="40" t="s">
        <v>100</v>
      </c>
      <c r="C44" s="20" t="s">
        <v>101</v>
      </c>
      <c r="D44" s="36" t="s">
        <v>4</v>
      </c>
      <c r="E44" s="37">
        <v>1</v>
      </c>
      <c r="F44" s="37">
        <f>G44/1.2499</f>
        <v>56.444515561244899</v>
      </c>
      <c r="G44" s="37">
        <f>ROUND((H42+H39+H33+H25+H18+H12)*0.005,2)</f>
        <v>70.55</v>
      </c>
      <c r="H44" s="37">
        <f>ROUND(E44*G44,2)</f>
        <v>70.55</v>
      </c>
    </row>
    <row r="45" spans="1:11" s="73" customFormat="1" ht="18.75" customHeight="1" thickBot="1" x14ac:dyDescent="0.3">
      <c r="A45" s="75"/>
      <c r="B45" s="75"/>
      <c r="C45" s="76"/>
      <c r="D45" s="75"/>
      <c r="E45" s="77"/>
      <c r="F45" s="78"/>
      <c r="G45" s="117" t="s">
        <v>10</v>
      </c>
      <c r="H45" s="74">
        <f>ROUND(SUM(H44),2)</f>
        <v>70.55</v>
      </c>
    </row>
    <row r="46" spans="1:11" ht="21" thickBot="1" x14ac:dyDescent="0.3">
      <c r="A46" s="178" t="s">
        <v>13</v>
      </c>
      <c r="B46" s="179"/>
      <c r="C46" s="179"/>
      <c r="D46" s="179"/>
      <c r="E46" s="179"/>
      <c r="F46" s="27"/>
      <c r="G46" s="181">
        <f>ROUND(SUM(H45+H42+H39+H33+H25+H18+H12),2)</f>
        <v>14181.37</v>
      </c>
      <c r="H46" s="182"/>
      <c r="I46" s="55" t="e">
        <f>H45+H42+#REF!+H39+H33+H25+H18+H12</f>
        <v>#REF!</v>
      </c>
      <c r="J46" s="55"/>
      <c r="K46" s="55"/>
    </row>
    <row r="47" spans="1:11" ht="88.5" customHeight="1" x14ac:dyDescent="0.25">
      <c r="A47" s="3"/>
      <c r="B47" s="180" t="s">
        <v>33</v>
      </c>
      <c r="C47" s="180"/>
      <c r="D47" s="180"/>
      <c r="E47" s="180"/>
      <c r="F47" s="180"/>
    </row>
    <row r="48" spans="1:11" ht="15.75" x14ac:dyDescent="0.25">
      <c r="A48" s="3"/>
      <c r="B48" s="164" t="s">
        <v>14</v>
      </c>
      <c r="C48" s="164"/>
      <c r="D48" s="164"/>
      <c r="E48" s="164"/>
      <c r="F48" s="164"/>
    </row>
  </sheetData>
  <mergeCells count="26">
    <mergeCell ref="B48:F48"/>
    <mergeCell ref="A1:H2"/>
    <mergeCell ref="A33:F33"/>
    <mergeCell ref="A25:F25"/>
    <mergeCell ref="A18:F18"/>
    <mergeCell ref="A12:F12"/>
    <mergeCell ref="B19:H19"/>
    <mergeCell ref="B26:H26"/>
    <mergeCell ref="B34:H34"/>
    <mergeCell ref="B40:H40"/>
    <mergeCell ref="A46:E46"/>
    <mergeCell ref="B47:F47"/>
    <mergeCell ref="G46:H46"/>
    <mergeCell ref="A39:F39"/>
    <mergeCell ref="A42:F42"/>
    <mergeCell ref="B43:H43"/>
    <mergeCell ref="B7:E7"/>
    <mergeCell ref="A3:F4"/>
    <mergeCell ref="B5:F5"/>
    <mergeCell ref="B6:F6"/>
    <mergeCell ref="G3:H6"/>
    <mergeCell ref="B13:H13"/>
    <mergeCell ref="B10:H10"/>
    <mergeCell ref="B9:C9"/>
    <mergeCell ref="G8:H8"/>
    <mergeCell ref="B8:E8"/>
  </mergeCells>
  <pageMargins left="0.51181102362204722" right="0.51181102362204722" top="0.78740157480314965" bottom="0.78740157480314965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view="pageBreakPreview" zoomScaleNormal="90" zoomScaleSheetLayoutView="100" workbookViewId="0">
      <selection activeCell="E37" sqref="E37:E38"/>
    </sheetView>
  </sheetViews>
  <sheetFormatPr defaultRowHeight="15" x14ac:dyDescent="0.25"/>
  <cols>
    <col min="1" max="1" width="12.7109375" style="16" customWidth="1"/>
    <col min="2" max="2" width="15.140625" style="16" customWidth="1"/>
    <col min="3" max="3" width="91.5703125" style="9" customWidth="1"/>
    <col min="4" max="4" width="20.5703125" style="17" customWidth="1"/>
    <col min="5" max="5" width="16.5703125" style="15" customWidth="1"/>
    <col min="6" max="6" width="9.7109375" style="16" customWidth="1"/>
    <col min="7" max="15" width="9.140625" style="16"/>
    <col min="16" max="16384" width="9.140625" style="9"/>
  </cols>
  <sheetData>
    <row r="1" spans="1:15" x14ac:dyDescent="0.25">
      <c r="A1" s="195"/>
      <c r="B1" s="196"/>
      <c r="C1" s="197"/>
      <c r="D1" s="197"/>
      <c r="E1" s="198"/>
    </row>
    <row r="2" spans="1:15" x14ac:dyDescent="0.25">
      <c r="A2" s="199"/>
      <c r="B2" s="200"/>
      <c r="C2" s="201"/>
      <c r="D2" s="201"/>
      <c r="E2" s="202"/>
    </row>
    <row r="3" spans="1:15" x14ac:dyDescent="0.25">
      <c r="A3" s="199"/>
      <c r="B3" s="200"/>
      <c r="C3" s="201"/>
      <c r="D3" s="201"/>
      <c r="E3" s="202"/>
    </row>
    <row r="4" spans="1:15" x14ac:dyDescent="0.25">
      <c r="A4" s="199"/>
      <c r="B4" s="200"/>
      <c r="C4" s="201"/>
      <c r="D4" s="201"/>
      <c r="E4" s="202"/>
    </row>
    <row r="5" spans="1:15" x14ac:dyDescent="0.25">
      <c r="A5" s="199"/>
      <c r="B5" s="200"/>
      <c r="C5" s="201"/>
      <c r="D5" s="201"/>
      <c r="E5" s="202"/>
    </row>
    <row r="6" spans="1:15" x14ac:dyDescent="0.25">
      <c r="A6" s="203" t="s">
        <v>30</v>
      </c>
      <c r="B6" s="204"/>
      <c r="C6" s="205"/>
      <c r="D6" s="205"/>
      <c r="E6" s="206"/>
    </row>
    <row r="7" spans="1:15" ht="7.5" customHeight="1" x14ac:dyDescent="0.25">
      <c r="A7" s="203"/>
      <c r="B7" s="204"/>
      <c r="C7" s="205"/>
      <c r="D7" s="205"/>
      <c r="E7" s="206"/>
    </row>
    <row r="8" spans="1:15" ht="15.75" customHeight="1" x14ac:dyDescent="0.25">
      <c r="A8" s="207" t="s">
        <v>152</v>
      </c>
      <c r="B8" s="208"/>
      <c r="C8" s="209"/>
      <c r="D8" s="209"/>
      <c r="E8" s="210"/>
    </row>
    <row r="9" spans="1:15" ht="15.75" thickBot="1" x14ac:dyDescent="0.3">
      <c r="A9" s="22" t="s">
        <v>31</v>
      </c>
      <c r="B9" s="32" t="s">
        <v>35</v>
      </c>
      <c r="C9" s="23" t="s">
        <v>3</v>
      </c>
      <c r="D9" s="24" t="s">
        <v>32</v>
      </c>
      <c r="E9" s="25" t="s">
        <v>34</v>
      </c>
    </row>
    <row r="10" spans="1:15" s="19" customFormat="1" ht="15.75" thickBot="1" x14ac:dyDescent="0.3">
      <c r="A10" s="33">
        <f>Orçamento!A13</f>
        <v>2</v>
      </c>
      <c r="B10" s="45"/>
      <c r="C10" s="46" t="str">
        <f>Orçamento!B13</f>
        <v>SERVIÇOS PRELIMINARES</v>
      </c>
      <c r="D10" s="46"/>
      <c r="E10" s="47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s="19" customFormat="1" ht="45" x14ac:dyDescent="0.25">
      <c r="A11" s="186" t="s">
        <v>36</v>
      </c>
      <c r="B11" s="188" t="s">
        <v>47</v>
      </c>
      <c r="C11" s="44" t="str">
        <f>Orçamento!C14</f>
        <v>FORNECIMENTO E COLOCAÇÃO DE PLACA DE OBRA EM CHAPA GALVANIZADA (3,00 X 1,5 0 M) - EM CHAPA GALVANIZADA 0,26 AFIXADAS COM REBITES 540 E PARAFUSOS 3/8, EM ESTRUTURA METÁLICA VIGA U 2" ENRIJECIDA COM METALON 20 X 20, SUPORTE EM EUCALIPTO AUTOCLAVADO PINTADAS</v>
      </c>
      <c r="D11" s="190" t="s">
        <v>32</v>
      </c>
      <c r="E11" s="211">
        <v>1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s="19" customFormat="1" x14ac:dyDescent="0.25">
      <c r="A12" s="189"/>
      <c r="B12" s="189"/>
      <c r="C12" s="44" t="s">
        <v>71</v>
      </c>
      <c r="D12" s="190"/>
      <c r="E12" s="212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s="16" customFormat="1" ht="45" x14ac:dyDescent="0.25">
      <c r="A13" s="192" t="s">
        <v>37</v>
      </c>
      <c r="B13" s="188" t="s">
        <v>102</v>
      </c>
      <c r="C13" s="44" t="s">
        <v>103</v>
      </c>
      <c r="D13" s="190" t="s">
        <v>50</v>
      </c>
      <c r="E13" s="191">
        <v>2</v>
      </c>
    </row>
    <row r="14" spans="1:15" s="16" customFormat="1" x14ac:dyDescent="0.25">
      <c r="A14" s="192"/>
      <c r="B14" s="189"/>
      <c r="C14" s="44" t="s">
        <v>85</v>
      </c>
      <c r="D14" s="190"/>
      <c r="E14" s="191"/>
    </row>
    <row r="15" spans="1:15" s="16" customFormat="1" ht="28.5" customHeight="1" x14ac:dyDescent="0.25">
      <c r="A15" s="192" t="s">
        <v>38</v>
      </c>
      <c r="B15" s="192" t="s">
        <v>52</v>
      </c>
      <c r="C15" s="44" t="s">
        <v>51</v>
      </c>
      <c r="D15" s="190" t="s">
        <v>32</v>
      </c>
      <c r="E15" s="191">
        <v>1</v>
      </c>
    </row>
    <row r="16" spans="1:15" s="16" customFormat="1" x14ac:dyDescent="0.25">
      <c r="A16" s="192"/>
      <c r="B16" s="192"/>
      <c r="C16" s="44" t="s">
        <v>71</v>
      </c>
      <c r="D16" s="190"/>
      <c r="E16" s="191"/>
    </row>
    <row r="17" spans="1:8" s="16" customFormat="1" x14ac:dyDescent="0.25">
      <c r="A17" s="192" t="s">
        <v>70</v>
      </c>
      <c r="B17" s="193" t="s">
        <v>104</v>
      </c>
      <c r="C17" s="44" t="s">
        <v>105</v>
      </c>
      <c r="D17" s="190" t="s">
        <v>32</v>
      </c>
      <c r="E17" s="133">
        <v>1</v>
      </c>
    </row>
    <row r="18" spans="1:8" s="16" customFormat="1" ht="15.75" thickBot="1" x14ac:dyDescent="0.3">
      <c r="A18" s="192"/>
      <c r="B18" s="194"/>
      <c r="C18" s="44" t="s">
        <v>71</v>
      </c>
      <c r="D18" s="190"/>
      <c r="E18" s="87"/>
    </row>
    <row r="19" spans="1:8" s="16" customFormat="1" ht="15.75" thickBot="1" x14ac:dyDescent="0.3">
      <c r="A19" s="33">
        <v>3</v>
      </c>
      <c r="B19" s="45"/>
      <c r="C19" s="46" t="str">
        <f>Orçamento!B19</f>
        <v>MOVIMENTAÇÃO DE TERRA E DEMOLIÇÃO</v>
      </c>
      <c r="D19" s="46"/>
      <c r="E19" s="47"/>
    </row>
    <row r="20" spans="1:8" s="16" customFormat="1" x14ac:dyDescent="0.25">
      <c r="A20" s="186" t="s">
        <v>39</v>
      </c>
      <c r="B20" s="188" t="s">
        <v>55</v>
      </c>
      <c r="C20" s="44" t="s">
        <v>54</v>
      </c>
      <c r="D20" s="190" t="s">
        <v>53</v>
      </c>
      <c r="E20" s="191">
        <f>ROUND( (H22*1.5*F22) + ((1.25*0.8*1.5)*2),2)</f>
        <v>18.75</v>
      </c>
    </row>
    <row r="21" spans="1:8" s="16" customFormat="1" ht="33" customHeight="1" x14ac:dyDescent="0.25">
      <c r="A21" s="187"/>
      <c r="B21" s="189"/>
      <c r="C21" s="44" t="s">
        <v>143</v>
      </c>
      <c r="D21" s="190"/>
      <c r="E21" s="191"/>
      <c r="F21" s="16" t="s">
        <v>86</v>
      </c>
      <c r="G21" s="16" t="s">
        <v>87</v>
      </c>
      <c r="H21" s="16" t="s">
        <v>88</v>
      </c>
    </row>
    <row r="22" spans="1:8" s="16" customFormat="1" x14ac:dyDescent="0.25">
      <c r="A22" s="188" t="s">
        <v>40</v>
      </c>
      <c r="B22" s="188" t="s">
        <v>57</v>
      </c>
      <c r="C22" s="44" t="s">
        <v>139</v>
      </c>
      <c r="D22" s="190" t="s">
        <v>49</v>
      </c>
      <c r="E22" s="191">
        <f>H22*F22+(0.5*12)</f>
        <v>16.5</v>
      </c>
      <c r="F22" s="16">
        <v>15</v>
      </c>
      <c r="G22" s="16">
        <v>0.3</v>
      </c>
      <c r="H22" s="16">
        <v>0.7</v>
      </c>
    </row>
    <row r="23" spans="1:8" s="16" customFormat="1" ht="30" x14ac:dyDescent="0.25">
      <c r="A23" s="189"/>
      <c r="B23" s="189"/>
      <c r="C23" s="44" t="s">
        <v>140</v>
      </c>
      <c r="D23" s="190"/>
      <c r="E23" s="191"/>
    </row>
    <row r="24" spans="1:8" s="16" customFormat="1" x14ac:dyDescent="0.25">
      <c r="A24" s="188" t="s">
        <v>41</v>
      </c>
      <c r="B24" s="188" t="s">
        <v>59</v>
      </c>
      <c r="C24" s="44" t="s">
        <v>58</v>
      </c>
      <c r="D24" s="190" t="s">
        <v>53</v>
      </c>
      <c r="E24" s="191">
        <f>E20-((0.1*H22*(F22))+((PI()*POWER(0.3,2)/4)*(F22))+((1.25*0.8*1.5)*2))</f>
        <v>13.639712479413445</v>
      </c>
    </row>
    <row r="25" spans="1:8" s="16" customFormat="1" ht="30" x14ac:dyDescent="0.25">
      <c r="A25" s="189"/>
      <c r="B25" s="189"/>
      <c r="C25" s="44" t="s">
        <v>149</v>
      </c>
      <c r="D25" s="190"/>
      <c r="E25" s="191"/>
    </row>
    <row r="26" spans="1:8" s="16" customFormat="1" ht="26.25" customHeight="1" x14ac:dyDescent="0.25">
      <c r="A26" s="188" t="s">
        <v>65</v>
      </c>
      <c r="B26" s="188" t="s">
        <v>127</v>
      </c>
      <c r="C26" s="44" t="s">
        <v>148</v>
      </c>
      <c r="D26" s="190" t="s">
        <v>53</v>
      </c>
      <c r="E26" s="111"/>
    </row>
    <row r="27" spans="1:8" s="16" customFormat="1" ht="30" x14ac:dyDescent="0.25">
      <c r="A27" s="189"/>
      <c r="B27" s="189"/>
      <c r="C27" s="71" t="s">
        <v>129</v>
      </c>
      <c r="D27" s="190"/>
      <c r="E27" s="127">
        <f>1.2*6*0.1</f>
        <v>0.72</v>
      </c>
    </row>
    <row r="28" spans="1:8" s="16" customFormat="1" ht="15" customHeight="1" x14ac:dyDescent="0.25">
      <c r="A28" s="187" t="s">
        <v>130</v>
      </c>
      <c r="B28" s="233" t="s">
        <v>81</v>
      </c>
      <c r="C28" s="44" t="s">
        <v>89</v>
      </c>
      <c r="D28" s="235" t="s">
        <v>53</v>
      </c>
      <c r="E28" s="83"/>
    </row>
    <row r="29" spans="1:8" s="16" customFormat="1" ht="35.25" customHeight="1" thickBot="1" x14ac:dyDescent="0.3">
      <c r="A29" s="189"/>
      <c r="B29" s="234"/>
      <c r="C29" s="71" t="s">
        <v>128</v>
      </c>
      <c r="D29" s="235"/>
      <c r="E29" s="84">
        <f>(0.2*0.4*F44)</f>
        <v>0.56000000000000005</v>
      </c>
    </row>
    <row r="30" spans="1:8" s="16" customFormat="1" ht="15.75" thickBot="1" x14ac:dyDescent="0.3">
      <c r="A30" s="33">
        <v>4</v>
      </c>
      <c r="B30" s="45"/>
      <c r="C30" s="46" t="str">
        <f>Orçamento!B26</f>
        <v>DRENAGEM</v>
      </c>
      <c r="D30" s="46"/>
      <c r="E30" s="47"/>
    </row>
    <row r="31" spans="1:8" s="16" customFormat="1" ht="18.75" customHeight="1" x14ac:dyDescent="0.25">
      <c r="A31" s="213" t="s">
        <v>42</v>
      </c>
      <c r="B31" s="219" t="s">
        <v>126</v>
      </c>
      <c r="C31" s="44" t="s">
        <v>125</v>
      </c>
      <c r="D31" s="217" t="s">
        <v>12</v>
      </c>
      <c r="E31" s="215">
        <f>F22</f>
        <v>15</v>
      </c>
    </row>
    <row r="32" spans="1:8" s="16" customFormat="1" ht="33" customHeight="1" x14ac:dyDescent="0.25">
      <c r="A32" s="214"/>
      <c r="B32" s="220"/>
      <c r="C32" s="44" t="s">
        <v>90</v>
      </c>
      <c r="D32" s="218"/>
      <c r="E32" s="216"/>
    </row>
    <row r="33" spans="1:7" s="16" customFormat="1" x14ac:dyDescent="0.25">
      <c r="A33" s="192" t="s">
        <v>43</v>
      </c>
      <c r="B33" s="221" t="s">
        <v>62</v>
      </c>
      <c r="C33" s="44" t="s">
        <v>61</v>
      </c>
      <c r="D33" s="192" t="s">
        <v>53</v>
      </c>
      <c r="E33" s="191">
        <f>H22*(F22)*0.1</f>
        <v>1.05</v>
      </c>
    </row>
    <row r="34" spans="1:7" s="16" customFormat="1" ht="30" x14ac:dyDescent="0.25">
      <c r="A34" s="192"/>
      <c r="B34" s="220"/>
      <c r="C34" s="44" t="s">
        <v>144</v>
      </c>
      <c r="D34" s="192"/>
      <c r="E34" s="191"/>
    </row>
    <row r="35" spans="1:7" s="16" customFormat="1" ht="30" x14ac:dyDescent="0.25">
      <c r="A35" s="192" t="s">
        <v>107</v>
      </c>
      <c r="B35" s="221" t="s">
        <v>64</v>
      </c>
      <c r="C35" s="44" t="s">
        <v>63</v>
      </c>
      <c r="D35" s="192" t="s">
        <v>32</v>
      </c>
      <c r="E35" s="191">
        <v>2</v>
      </c>
    </row>
    <row r="36" spans="1:7" s="16" customFormat="1" x14ac:dyDescent="0.25">
      <c r="A36" s="192"/>
      <c r="B36" s="220"/>
      <c r="C36" s="44" t="s">
        <v>72</v>
      </c>
      <c r="D36" s="192"/>
      <c r="E36" s="191"/>
    </row>
    <row r="37" spans="1:7" s="16" customFormat="1" ht="24" x14ac:dyDescent="0.25">
      <c r="A37" s="188" t="s">
        <v>134</v>
      </c>
      <c r="B37" s="132" t="s">
        <v>135</v>
      </c>
      <c r="C37" s="20" t="s">
        <v>141</v>
      </c>
      <c r="D37" s="188" t="s">
        <v>12</v>
      </c>
      <c r="E37" s="227">
        <v>12</v>
      </c>
    </row>
    <row r="38" spans="1:7" s="16" customFormat="1" ht="30" x14ac:dyDescent="0.25">
      <c r="A38" s="189"/>
      <c r="B38" s="132"/>
      <c r="C38" s="44" t="s">
        <v>137</v>
      </c>
      <c r="D38" s="189"/>
      <c r="E38" s="228"/>
    </row>
    <row r="39" spans="1:7" s="16" customFormat="1" ht="30" x14ac:dyDescent="0.25">
      <c r="A39" s="192" t="s">
        <v>136</v>
      </c>
      <c r="B39" s="221" t="s">
        <v>133</v>
      </c>
      <c r="C39" s="44" t="s">
        <v>132</v>
      </c>
      <c r="D39" s="188" t="s">
        <v>49</v>
      </c>
      <c r="E39" s="129">
        <f>H22*F22</f>
        <v>10.5</v>
      </c>
      <c r="F39" s="16">
        <v>54.27</v>
      </c>
    </row>
    <row r="40" spans="1:7" s="16" customFormat="1" ht="30.75" thickBot="1" x14ac:dyDescent="0.3">
      <c r="A40" s="192"/>
      <c r="B40" s="230"/>
      <c r="C40" s="44" t="s">
        <v>145</v>
      </c>
      <c r="D40" s="189"/>
      <c r="E40" s="130"/>
    </row>
    <row r="41" spans="1:7" s="16" customFormat="1" ht="15.75" thickBot="1" x14ac:dyDescent="0.3">
      <c r="A41" s="33">
        <v>5</v>
      </c>
      <c r="B41" s="45"/>
      <c r="C41" s="46" t="s">
        <v>115</v>
      </c>
      <c r="D41" s="131"/>
      <c r="E41" s="46"/>
    </row>
    <row r="42" spans="1:7" s="16" customFormat="1" ht="15" customHeight="1" x14ac:dyDescent="0.25">
      <c r="A42" s="188" t="s">
        <v>45</v>
      </c>
      <c r="B42" s="231" t="s">
        <v>75</v>
      </c>
      <c r="C42" s="223" t="s">
        <v>78</v>
      </c>
      <c r="D42" s="188" t="s">
        <v>49</v>
      </c>
      <c r="E42" s="51"/>
      <c r="F42" s="218" t="s">
        <v>92</v>
      </c>
      <c r="G42" s="229" t="s">
        <v>93</v>
      </c>
    </row>
    <row r="43" spans="1:7" s="16" customFormat="1" x14ac:dyDescent="0.25">
      <c r="A43" s="187"/>
      <c r="B43" s="232"/>
      <c r="C43" s="224"/>
      <c r="D43" s="187"/>
      <c r="E43" s="50">
        <f>G44*F44</f>
        <v>10.5</v>
      </c>
      <c r="F43" s="218"/>
      <c r="G43" s="229"/>
    </row>
    <row r="44" spans="1:7" s="16" customFormat="1" ht="30" x14ac:dyDescent="0.25">
      <c r="A44" s="189"/>
      <c r="B44" s="216"/>
      <c r="C44" s="44" t="s">
        <v>150</v>
      </c>
      <c r="D44" s="189"/>
      <c r="E44" s="48"/>
      <c r="F44" s="16">
        <v>7</v>
      </c>
      <c r="G44" s="16">
        <v>1.5</v>
      </c>
    </row>
    <row r="45" spans="1:7" s="16" customFormat="1" x14ac:dyDescent="0.25">
      <c r="A45" s="188" t="s">
        <v>108</v>
      </c>
      <c r="B45" s="227" t="s">
        <v>76</v>
      </c>
      <c r="C45" s="60" t="s">
        <v>79</v>
      </c>
      <c r="D45" s="225" t="s">
        <v>53</v>
      </c>
      <c r="E45" s="51"/>
      <c r="G45" s="16">
        <f>18*0.4</f>
        <v>7.2</v>
      </c>
    </row>
    <row r="46" spans="1:7" s="16" customFormat="1" ht="30" x14ac:dyDescent="0.25">
      <c r="A46" s="189"/>
      <c r="B46" s="228"/>
      <c r="C46" s="44" t="s">
        <v>91</v>
      </c>
      <c r="D46" s="226"/>
      <c r="E46" s="82">
        <f>4*0.2*0.2*G44</f>
        <v>0.24000000000000005</v>
      </c>
    </row>
    <row r="47" spans="1:7" s="16" customFormat="1" ht="15" customHeight="1" x14ac:dyDescent="0.25">
      <c r="A47" s="188" t="s">
        <v>109</v>
      </c>
      <c r="B47" s="227" t="s">
        <v>77</v>
      </c>
      <c r="C47" s="60" t="s">
        <v>94</v>
      </c>
      <c r="D47" s="225" t="s">
        <v>53</v>
      </c>
      <c r="E47" s="51"/>
    </row>
    <row r="48" spans="1:7" s="16" customFormat="1" ht="30" x14ac:dyDescent="0.25">
      <c r="A48" s="189"/>
      <c r="B48" s="228"/>
      <c r="C48" s="44" t="s">
        <v>151</v>
      </c>
      <c r="D48" s="226"/>
      <c r="E48" s="82">
        <f>0.15*0.3*F44*2</f>
        <v>0.63</v>
      </c>
    </row>
    <row r="49" spans="1:5" s="16" customFormat="1" ht="30" x14ac:dyDescent="0.25">
      <c r="A49" s="188" t="s">
        <v>110</v>
      </c>
      <c r="B49" s="81" t="str">
        <f>Orçamento!B38</f>
        <v>ED-9075</v>
      </c>
      <c r="C49" s="58" t="str">
        <f>Orçamento!C38</f>
        <v>FORNECIMENTO DE ANDAIME METÁLICO PARA FACHADA (LOCAÇÃO), INCLUSIVE PISO METÁLICO E SAPATAS,</v>
      </c>
      <c r="D49" s="225" t="s">
        <v>49</v>
      </c>
      <c r="E49" s="59"/>
    </row>
    <row r="50" spans="1:5" s="16" customFormat="1" ht="30" x14ac:dyDescent="0.25">
      <c r="A50" s="189"/>
      <c r="B50" s="82"/>
      <c r="C50" s="106" t="s">
        <v>116</v>
      </c>
      <c r="D50" s="226"/>
      <c r="E50" s="59">
        <f>2*1.8</f>
        <v>3.6</v>
      </c>
    </row>
    <row r="51" spans="1:5" s="16" customFormat="1" ht="15.75" thickBot="1" x14ac:dyDescent="0.3">
      <c r="A51" s="49"/>
      <c r="B51" s="57"/>
      <c r="C51" s="58"/>
      <c r="D51" s="29"/>
      <c r="E51" s="59"/>
    </row>
    <row r="52" spans="1:5" s="16" customFormat="1" ht="15.75" thickBot="1" x14ac:dyDescent="0.3">
      <c r="A52" s="33">
        <v>7</v>
      </c>
      <c r="B52" s="45"/>
      <c r="C52" s="46" t="str">
        <f>Orçamento!B40</f>
        <v>TRANSPORTE</v>
      </c>
      <c r="D52" s="46"/>
      <c r="E52" s="47"/>
    </row>
    <row r="53" spans="1:5" s="16" customFormat="1" ht="30" x14ac:dyDescent="0.25">
      <c r="A53" s="213" t="s">
        <v>111</v>
      </c>
      <c r="B53" s="219" t="s">
        <v>68</v>
      </c>
      <c r="C53" s="44" t="s">
        <v>66</v>
      </c>
      <c r="D53" s="186" t="s">
        <v>69</v>
      </c>
      <c r="E53" s="191">
        <f>(E29+E27+(E20-E24))*(1.5)</f>
        <v>9.585431280879833</v>
      </c>
    </row>
    <row r="54" spans="1:5" s="16" customFormat="1" x14ac:dyDescent="0.25">
      <c r="A54" s="222"/>
      <c r="B54" s="220"/>
      <c r="C54" s="44" t="s">
        <v>146</v>
      </c>
      <c r="D54" s="189"/>
      <c r="E54" s="191"/>
    </row>
    <row r="55" spans="1:5" s="16" customFormat="1" x14ac:dyDescent="0.25">
      <c r="A55" s="31"/>
      <c r="B55" s="31"/>
      <c r="C55" s="14"/>
      <c r="D55" s="29"/>
      <c r="E55" s="30"/>
    </row>
    <row r="56" spans="1:5" s="16" customFormat="1" x14ac:dyDescent="0.25">
      <c r="A56" s="31"/>
      <c r="B56" s="31"/>
      <c r="C56" s="14"/>
      <c r="D56" s="29"/>
      <c r="E56" s="30"/>
    </row>
    <row r="57" spans="1:5" s="16" customFormat="1" x14ac:dyDescent="0.25">
      <c r="A57" s="31"/>
      <c r="B57" s="31"/>
      <c r="C57" s="14"/>
      <c r="D57" s="29"/>
      <c r="E57" s="30"/>
    </row>
    <row r="58" spans="1:5" s="16" customFormat="1" x14ac:dyDescent="0.25">
      <c r="A58" s="31"/>
      <c r="B58" s="31"/>
      <c r="C58" s="14"/>
      <c r="D58" s="29"/>
      <c r="E58" s="30"/>
    </row>
    <row r="59" spans="1:5" s="16" customFormat="1" x14ac:dyDescent="0.25">
      <c r="A59" s="31"/>
      <c r="B59" s="31"/>
      <c r="C59" s="14"/>
      <c r="D59" s="29"/>
      <c r="E59" s="30"/>
    </row>
    <row r="60" spans="1:5" s="16" customFormat="1" x14ac:dyDescent="0.25">
      <c r="A60" s="31"/>
      <c r="B60" s="31"/>
      <c r="C60" s="14"/>
      <c r="D60" s="29"/>
      <c r="E60" s="30"/>
    </row>
    <row r="61" spans="1:5" s="16" customFormat="1" x14ac:dyDescent="0.25">
      <c r="A61" s="31"/>
      <c r="B61" s="31"/>
      <c r="C61" s="14"/>
      <c r="D61" s="29"/>
      <c r="E61" s="30"/>
    </row>
    <row r="62" spans="1:5" s="16" customFormat="1" x14ac:dyDescent="0.25">
      <c r="A62" s="31"/>
      <c r="B62" s="31"/>
      <c r="C62" s="14"/>
      <c r="D62" s="29"/>
      <c r="E62" s="30"/>
    </row>
    <row r="63" spans="1:5" s="16" customFormat="1" x14ac:dyDescent="0.25">
      <c r="A63" s="31"/>
      <c r="B63" s="31"/>
      <c r="C63" s="14"/>
      <c r="D63" s="29"/>
      <c r="E63" s="30"/>
    </row>
    <row r="64" spans="1:5" s="16" customFormat="1" x14ac:dyDescent="0.25">
      <c r="A64" s="31"/>
      <c r="B64" s="31"/>
      <c r="C64" s="14"/>
      <c r="D64" s="29"/>
      <c r="E64" s="30"/>
    </row>
    <row r="65" spans="1:5" s="16" customFormat="1" x14ac:dyDescent="0.25">
      <c r="A65" s="31"/>
      <c r="B65" s="31"/>
      <c r="C65" s="14"/>
      <c r="D65" s="29"/>
      <c r="E65" s="30"/>
    </row>
    <row r="66" spans="1:5" s="16" customFormat="1" x14ac:dyDescent="0.25">
      <c r="A66" s="31"/>
      <c r="B66" s="31"/>
      <c r="C66" s="14"/>
      <c r="D66" s="29"/>
      <c r="E66" s="30"/>
    </row>
    <row r="67" spans="1:5" s="16" customFormat="1" x14ac:dyDescent="0.25">
      <c r="A67" s="31"/>
      <c r="B67" s="31"/>
      <c r="C67" s="14"/>
      <c r="D67" s="29"/>
      <c r="E67" s="30"/>
    </row>
    <row r="68" spans="1:5" s="16" customFormat="1" x14ac:dyDescent="0.25">
      <c r="A68" s="31"/>
      <c r="B68" s="31"/>
      <c r="C68" s="14"/>
      <c r="D68" s="29"/>
      <c r="E68" s="30"/>
    </row>
    <row r="69" spans="1:5" s="16" customFormat="1" x14ac:dyDescent="0.25">
      <c r="A69" s="31"/>
      <c r="B69" s="31"/>
      <c r="C69" s="14"/>
      <c r="D69" s="29"/>
      <c r="E69" s="30"/>
    </row>
    <row r="70" spans="1:5" s="16" customFormat="1" x14ac:dyDescent="0.25">
      <c r="A70" s="31"/>
      <c r="B70" s="31"/>
      <c r="C70" s="14"/>
      <c r="D70" s="29"/>
      <c r="E70" s="30"/>
    </row>
    <row r="71" spans="1:5" s="16" customFormat="1" x14ac:dyDescent="0.25">
      <c r="A71" s="31"/>
      <c r="B71" s="31"/>
      <c r="C71" s="14"/>
      <c r="D71" s="29"/>
      <c r="E71" s="30"/>
    </row>
    <row r="72" spans="1:5" s="16" customFormat="1" x14ac:dyDescent="0.25">
      <c r="A72" s="31"/>
      <c r="B72" s="31"/>
      <c r="C72" s="14"/>
      <c r="D72" s="29"/>
      <c r="E72" s="30"/>
    </row>
    <row r="73" spans="1:5" s="16" customFormat="1" x14ac:dyDescent="0.25">
      <c r="A73" s="31"/>
      <c r="B73" s="31"/>
      <c r="C73" s="14"/>
      <c r="D73" s="29"/>
      <c r="E73" s="30"/>
    </row>
    <row r="74" spans="1:5" s="16" customFormat="1" x14ac:dyDescent="0.25">
      <c r="A74" s="31"/>
      <c r="B74" s="31"/>
      <c r="C74" s="14"/>
      <c r="D74" s="29"/>
      <c r="E74" s="30"/>
    </row>
  </sheetData>
  <mergeCells count="72">
    <mergeCell ref="F42:F43"/>
    <mergeCell ref="G42:G43"/>
    <mergeCell ref="D26:D27"/>
    <mergeCell ref="B26:B27"/>
    <mergeCell ref="A26:A27"/>
    <mergeCell ref="D39:D40"/>
    <mergeCell ref="A39:A40"/>
    <mergeCell ref="B39:B40"/>
    <mergeCell ref="D42:D44"/>
    <mergeCell ref="B42:B44"/>
    <mergeCell ref="A42:A44"/>
    <mergeCell ref="A28:A29"/>
    <mergeCell ref="B28:B29"/>
    <mergeCell ref="D28:D29"/>
    <mergeCell ref="E37:E38"/>
    <mergeCell ref="E33:E34"/>
    <mergeCell ref="A53:A54"/>
    <mergeCell ref="B53:B54"/>
    <mergeCell ref="D53:D54"/>
    <mergeCell ref="E53:E54"/>
    <mergeCell ref="B35:B36"/>
    <mergeCell ref="C42:C43"/>
    <mergeCell ref="D49:D50"/>
    <mergeCell ref="A49:A50"/>
    <mergeCell ref="D45:D46"/>
    <mergeCell ref="A45:A46"/>
    <mergeCell ref="D47:D48"/>
    <mergeCell ref="B47:B48"/>
    <mergeCell ref="B45:B46"/>
    <mergeCell ref="A47:A48"/>
    <mergeCell ref="A37:A38"/>
    <mergeCell ref="D37:D38"/>
    <mergeCell ref="D35:D36"/>
    <mergeCell ref="E35:E36"/>
    <mergeCell ref="A31:A32"/>
    <mergeCell ref="E31:E32"/>
    <mergeCell ref="A33:A34"/>
    <mergeCell ref="A35:A36"/>
    <mergeCell ref="D31:D32"/>
    <mergeCell ref="D33:D34"/>
    <mergeCell ref="B31:B32"/>
    <mergeCell ref="B33:B34"/>
    <mergeCell ref="A22:A23"/>
    <mergeCell ref="B22:B23"/>
    <mergeCell ref="D22:D23"/>
    <mergeCell ref="E22:E23"/>
    <mergeCell ref="A24:A25"/>
    <mergeCell ref="B24:B25"/>
    <mergeCell ref="D24:D25"/>
    <mergeCell ref="E24:E25"/>
    <mergeCell ref="A13:A14"/>
    <mergeCell ref="B13:B14"/>
    <mergeCell ref="D13:D14"/>
    <mergeCell ref="E13:E14"/>
    <mergeCell ref="A15:A16"/>
    <mergeCell ref="B15:B16"/>
    <mergeCell ref="D15:D16"/>
    <mergeCell ref="E15:E16"/>
    <mergeCell ref="A1:E5"/>
    <mergeCell ref="A6:E7"/>
    <mergeCell ref="A8:E8"/>
    <mergeCell ref="A11:A12"/>
    <mergeCell ref="B11:B12"/>
    <mergeCell ref="D11:D12"/>
    <mergeCell ref="E11:E12"/>
    <mergeCell ref="A20:A21"/>
    <mergeCell ref="B20:B21"/>
    <mergeCell ref="D20:D21"/>
    <mergeCell ref="E20:E21"/>
    <mergeCell ref="A17:A18"/>
    <mergeCell ref="B17:B18"/>
    <mergeCell ref="D17:D18"/>
  </mergeCells>
  <pageMargins left="0.511811024" right="0.511811024" top="0.78740157499999996" bottom="0.78740157499999996" header="0.31496062000000002" footer="0.31496062000000002"/>
  <pageSetup paperSize="9" scale="55" orientation="portrait" r:id="rId1"/>
  <rowBreaks count="1" manualBreakCount="1">
    <brk id="2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6" workbookViewId="0">
      <selection activeCell="I24" sqref="I24"/>
    </sheetView>
  </sheetViews>
  <sheetFormatPr defaultRowHeight="15" x14ac:dyDescent="0.25"/>
  <cols>
    <col min="1" max="1" width="17.28515625" customWidth="1"/>
    <col min="4" max="4" width="12.7109375" bestFit="1" customWidth="1"/>
    <col min="5" max="5" width="13.7109375" customWidth="1"/>
    <col min="7" max="7" width="11.28515625" bestFit="1" customWidth="1"/>
    <col min="8" max="8" width="10.28515625" bestFit="1" customWidth="1"/>
    <col min="9" max="9" width="17.28515625" customWidth="1"/>
  </cols>
  <sheetData>
    <row r="1" spans="1:11" ht="15.75" thickBot="1" x14ac:dyDescent="0.3">
      <c r="A1" s="102" t="s">
        <v>15</v>
      </c>
      <c r="B1" s="252" t="s">
        <v>16</v>
      </c>
      <c r="C1" s="253"/>
      <c r="D1" s="253"/>
      <c r="E1" s="254"/>
      <c r="F1" s="255"/>
      <c r="G1" s="256"/>
      <c r="H1" s="256"/>
      <c r="I1" s="257"/>
      <c r="J1" s="5"/>
      <c r="K1" s="6"/>
    </row>
    <row r="2" spans="1:11" ht="15.75" thickBot="1" x14ac:dyDescent="0.3">
      <c r="A2" s="54" t="s">
        <v>17</v>
      </c>
      <c r="B2" s="264" t="s">
        <v>18</v>
      </c>
      <c r="C2" s="265"/>
      <c r="D2" s="265"/>
      <c r="E2" s="266"/>
      <c r="F2" s="258"/>
      <c r="G2" s="259"/>
      <c r="H2" s="259"/>
      <c r="I2" s="260"/>
      <c r="J2" s="5"/>
      <c r="K2" s="6"/>
    </row>
    <row r="3" spans="1:11" x14ac:dyDescent="0.25">
      <c r="A3" s="236" t="s">
        <v>19</v>
      </c>
      <c r="B3" s="238" t="s">
        <v>106</v>
      </c>
      <c r="C3" s="239"/>
      <c r="D3" s="239"/>
      <c r="E3" s="240"/>
      <c r="F3" s="258"/>
      <c r="G3" s="259"/>
      <c r="H3" s="259"/>
      <c r="I3" s="260"/>
      <c r="J3" s="7"/>
      <c r="K3" s="6"/>
    </row>
    <row r="4" spans="1:11" ht="15.75" thickBot="1" x14ac:dyDescent="0.3">
      <c r="A4" s="237"/>
      <c r="B4" s="241"/>
      <c r="C4" s="242"/>
      <c r="D4" s="242"/>
      <c r="E4" s="243"/>
      <c r="F4" s="258"/>
      <c r="G4" s="259"/>
      <c r="H4" s="259"/>
      <c r="I4" s="260"/>
      <c r="J4" s="7"/>
      <c r="K4" s="6"/>
    </row>
    <row r="5" spans="1:11" ht="20.25" customHeight="1" thickBot="1" x14ac:dyDescent="0.3">
      <c r="A5" s="54" t="s">
        <v>20</v>
      </c>
      <c r="B5" s="244"/>
      <c r="C5" s="245"/>
      <c r="D5" s="135" t="s">
        <v>21</v>
      </c>
      <c r="E5" s="134">
        <v>44225</v>
      </c>
      <c r="F5" s="261"/>
      <c r="G5" s="262"/>
      <c r="H5" s="262"/>
      <c r="I5" s="263"/>
      <c r="J5" s="7"/>
      <c r="K5" s="6"/>
    </row>
    <row r="6" spans="1:11" ht="15.75" customHeight="1" thickBot="1" x14ac:dyDescent="0.3">
      <c r="A6" s="267" t="s">
        <v>16</v>
      </c>
      <c r="B6" s="268"/>
      <c r="C6" s="268"/>
      <c r="D6" s="268"/>
      <c r="E6" s="268"/>
      <c r="F6" s="268"/>
      <c r="G6" s="268"/>
      <c r="H6" s="268"/>
      <c r="I6" s="269"/>
      <c r="J6" s="8"/>
      <c r="K6" s="6"/>
    </row>
    <row r="7" spans="1:11" ht="15.75" thickBot="1" x14ac:dyDescent="0.3">
      <c r="A7" s="52" t="s">
        <v>2</v>
      </c>
      <c r="B7" s="267" t="s">
        <v>22</v>
      </c>
      <c r="C7" s="268"/>
      <c r="D7" s="269"/>
      <c r="E7" s="53" t="s">
        <v>23</v>
      </c>
      <c r="F7" s="101" t="s">
        <v>24</v>
      </c>
      <c r="G7" s="101" t="s">
        <v>25</v>
      </c>
      <c r="H7" s="101" t="s">
        <v>26</v>
      </c>
      <c r="I7" s="101" t="s">
        <v>27</v>
      </c>
    </row>
    <row r="8" spans="1:11" ht="15" customHeight="1" x14ac:dyDescent="0.25">
      <c r="A8" s="286">
        <v>1</v>
      </c>
      <c r="B8" s="270" t="s">
        <v>95</v>
      </c>
      <c r="C8" s="271"/>
      <c r="D8" s="272"/>
      <c r="E8" s="277">
        <f>Orçamento!H12</f>
        <v>827.55</v>
      </c>
      <c r="F8" s="273">
        <f>E8/E$22*100</f>
        <v>5.8354728774441398</v>
      </c>
      <c r="G8" s="98">
        <v>0.5</v>
      </c>
      <c r="H8" s="98">
        <v>0.5</v>
      </c>
      <c r="I8" s="103">
        <f>SUM(G8:H8)</f>
        <v>1</v>
      </c>
    </row>
    <row r="9" spans="1:11" x14ac:dyDescent="0.25">
      <c r="A9" s="287"/>
      <c r="B9" s="247"/>
      <c r="C9" s="248"/>
      <c r="D9" s="249"/>
      <c r="E9" s="251"/>
      <c r="F9" s="246"/>
      <c r="G9" s="99">
        <f>G8*E8</f>
        <v>413.77499999999998</v>
      </c>
      <c r="H9" s="99">
        <f>H8*E8</f>
        <v>413.77499999999998</v>
      </c>
      <c r="I9" s="99">
        <f>SUM(G9:H9)</f>
        <v>827.55</v>
      </c>
    </row>
    <row r="10" spans="1:11" ht="15" customHeight="1" x14ac:dyDescent="0.25">
      <c r="A10" s="287">
        <v>2</v>
      </c>
      <c r="B10" s="247" t="str">
        <f>Orçamento!B13</f>
        <v>SERVIÇOS PRELIMINARES</v>
      </c>
      <c r="C10" s="248"/>
      <c r="D10" s="249"/>
      <c r="E10" s="250">
        <f>Orçamento!H18</f>
        <v>3706.39</v>
      </c>
      <c r="F10" s="246">
        <f>E10/E$22*100</f>
        <v>26.135627234886332</v>
      </c>
      <c r="G10" s="98">
        <v>0.5</v>
      </c>
      <c r="H10" s="98">
        <v>0.5</v>
      </c>
      <c r="I10" s="103">
        <f>SUM(G10:H10)</f>
        <v>1</v>
      </c>
    </row>
    <row r="11" spans="1:11" x14ac:dyDescent="0.25">
      <c r="A11" s="287"/>
      <c r="B11" s="247"/>
      <c r="C11" s="248"/>
      <c r="D11" s="249"/>
      <c r="E11" s="251"/>
      <c r="F11" s="246"/>
      <c r="G11" s="99">
        <f>G10*E10</f>
        <v>1853.1949999999999</v>
      </c>
      <c r="H11" s="99">
        <f>H10*E10</f>
        <v>1853.1949999999999</v>
      </c>
      <c r="I11" s="99">
        <f>SUM(G11:H11)</f>
        <v>3706.39</v>
      </c>
    </row>
    <row r="12" spans="1:11" x14ac:dyDescent="0.25">
      <c r="A12" s="284">
        <v>3</v>
      </c>
      <c r="B12" s="278" t="str">
        <f>Orçamento!B19</f>
        <v>MOVIMENTAÇÃO DE TERRA E DEMOLIÇÃO</v>
      </c>
      <c r="C12" s="279"/>
      <c r="D12" s="280"/>
      <c r="E12" s="250">
        <f>Orçamento!H25</f>
        <v>960.29</v>
      </c>
      <c r="F12" s="246">
        <f>E12/E$22*100</f>
        <v>6.7714896374609781</v>
      </c>
      <c r="G12" s="98">
        <v>0.7</v>
      </c>
      <c r="H12" s="98">
        <v>0.3</v>
      </c>
      <c r="I12" s="103">
        <f ca="1">SUM(G12:I12)</f>
        <v>1</v>
      </c>
    </row>
    <row r="13" spans="1:11" x14ac:dyDescent="0.25">
      <c r="A13" s="285"/>
      <c r="B13" s="281"/>
      <c r="C13" s="282"/>
      <c r="D13" s="283"/>
      <c r="E13" s="251"/>
      <c r="F13" s="246"/>
      <c r="G13" s="99">
        <f>G12*E12</f>
        <v>672.20299999999997</v>
      </c>
      <c r="H13" s="99">
        <f>H12*E12</f>
        <v>288.08699999999999</v>
      </c>
      <c r="I13" s="99">
        <f>SUM(G13:H13)</f>
        <v>960.29</v>
      </c>
    </row>
    <row r="14" spans="1:11" ht="15" customHeight="1" x14ac:dyDescent="0.25">
      <c r="A14" s="288">
        <v>4</v>
      </c>
      <c r="B14" s="247" t="str">
        <f>Orçamento!B26</f>
        <v>DRENAGEM</v>
      </c>
      <c r="C14" s="248"/>
      <c r="D14" s="249"/>
      <c r="E14" s="250">
        <f>Orçamento!H33</f>
        <v>6241.05</v>
      </c>
      <c r="F14" s="246">
        <f>E14/E$22*100</f>
        <v>44.008794636907439</v>
      </c>
      <c r="G14" s="98">
        <v>0.4</v>
      </c>
      <c r="H14" s="98">
        <v>0.6</v>
      </c>
      <c r="I14" s="103">
        <f>SUM(G14:H14)</f>
        <v>1</v>
      </c>
    </row>
    <row r="15" spans="1:11" x14ac:dyDescent="0.25">
      <c r="A15" s="288"/>
      <c r="B15" s="247"/>
      <c r="C15" s="248"/>
      <c r="D15" s="249"/>
      <c r="E15" s="251"/>
      <c r="F15" s="246"/>
      <c r="G15" s="99">
        <f>G14*E14</f>
        <v>2496.42</v>
      </c>
      <c r="H15" s="99">
        <f>H14*E14</f>
        <v>3744.63</v>
      </c>
      <c r="I15" s="99">
        <f>SUM(G15:H15)</f>
        <v>6241.05</v>
      </c>
    </row>
    <row r="16" spans="1:11" ht="15" customHeight="1" x14ac:dyDescent="0.25">
      <c r="A16" s="288">
        <v>5</v>
      </c>
      <c r="B16" s="247" t="str">
        <f>Orçamento!B34</f>
        <v>MURO DE DIVIDA</v>
      </c>
      <c r="C16" s="248"/>
      <c r="D16" s="249"/>
      <c r="E16" s="250">
        <f>Orçamento!H39</f>
        <v>2336.34</v>
      </c>
      <c r="F16" s="246">
        <f>E16/E$22*100</f>
        <v>16.474712950864411</v>
      </c>
      <c r="G16" s="98">
        <v>0.5</v>
      </c>
      <c r="H16" s="98">
        <v>0.5</v>
      </c>
      <c r="I16" s="103">
        <f ca="1">SUM(G16:I16)</f>
        <v>1</v>
      </c>
    </row>
    <row r="17" spans="1:9" x14ac:dyDescent="0.25">
      <c r="A17" s="288"/>
      <c r="B17" s="247"/>
      <c r="C17" s="248"/>
      <c r="D17" s="249"/>
      <c r="E17" s="251"/>
      <c r="F17" s="246"/>
      <c r="G17" s="99">
        <f>G16*E16</f>
        <v>1168.17</v>
      </c>
      <c r="H17" s="99">
        <f>H16*E16</f>
        <v>1168.17</v>
      </c>
      <c r="I17" s="99">
        <f>SUM(G17:H17)</f>
        <v>2336.34</v>
      </c>
    </row>
    <row r="18" spans="1:9" ht="15" customHeight="1" x14ac:dyDescent="0.25">
      <c r="A18" s="288">
        <v>6</v>
      </c>
      <c r="B18" s="247" t="str">
        <f>Orçamento!B40</f>
        <v>TRANSPORTE</v>
      </c>
      <c r="C18" s="248"/>
      <c r="D18" s="249"/>
      <c r="E18" s="250">
        <f>Orçamento!H42</f>
        <v>39.200000000000003</v>
      </c>
      <c r="F18" s="246">
        <f>E18/E$22*100</f>
        <v>0.27641899195916897</v>
      </c>
      <c r="G18" s="98">
        <v>0.1</v>
      </c>
      <c r="H18" s="98">
        <v>0.9</v>
      </c>
      <c r="I18" s="103">
        <f ca="1">SUM(G18:I18)</f>
        <v>1</v>
      </c>
    </row>
    <row r="19" spans="1:9" x14ac:dyDescent="0.25">
      <c r="A19" s="288"/>
      <c r="B19" s="247"/>
      <c r="C19" s="248"/>
      <c r="D19" s="249"/>
      <c r="E19" s="251"/>
      <c r="F19" s="246"/>
      <c r="G19" s="99">
        <f>G18*E18</f>
        <v>3.9200000000000004</v>
      </c>
      <c r="H19" s="99">
        <f>H18*E18</f>
        <v>35.28</v>
      </c>
      <c r="I19" s="99">
        <f>SUM(G19:H19)</f>
        <v>39.200000000000003</v>
      </c>
    </row>
    <row r="20" spans="1:9" ht="15" customHeight="1" x14ac:dyDescent="0.25">
      <c r="A20" s="288">
        <v>7</v>
      </c>
      <c r="B20" s="247" t="str">
        <f>Orçamento!B43</f>
        <v>MOBILIZAÇÃO E DESMOBILIZAÇÃO</v>
      </c>
      <c r="C20" s="248"/>
      <c r="D20" s="249"/>
      <c r="E20" s="250">
        <f>Orçamento!H45</f>
        <v>70.55</v>
      </c>
      <c r="F20" s="246">
        <f>E20/E$22*100</f>
        <v>0.497483670477535</v>
      </c>
      <c r="G20" s="98">
        <v>0.5</v>
      </c>
      <c r="H20" s="98">
        <v>0.5</v>
      </c>
      <c r="I20" s="103">
        <f ca="1">SUM(G20:I20)</f>
        <v>1</v>
      </c>
    </row>
    <row r="21" spans="1:9" x14ac:dyDescent="0.25">
      <c r="A21" s="288"/>
      <c r="B21" s="247"/>
      <c r="C21" s="248"/>
      <c r="D21" s="249"/>
      <c r="E21" s="251"/>
      <c r="F21" s="246"/>
      <c r="G21" s="99">
        <f>G20*E20</f>
        <v>35.274999999999999</v>
      </c>
      <c r="H21" s="99">
        <f>H20*E20</f>
        <v>35.274999999999999</v>
      </c>
      <c r="I21" s="99">
        <f>SUM(G21:H21)</f>
        <v>70.55</v>
      </c>
    </row>
    <row r="22" spans="1:9" ht="15.75" thickBot="1" x14ac:dyDescent="0.3">
      <c r="A22" s="104"/>
      <c r="B22" s="274" t="s">
        <v>27</v>
      </c>
      <c r="C22" s="275"/>
      <c r="D22" s="276"/>
      <c r="E22" s="97">
        <f>SUM(E8:E21)</f>
        <v>14181.369999999999</v>
      </c>
      <c r="F22" s="97">
        <f>SUM(F14:F21)</f>
        <v>61.257410250208558</v>
      </c>
      <c r="G22" s="100">
        <f>G9+G11+G13+G15+G17+G19+G21</f>
        <v>6642.9579999999996</v>
      </c>
      <c r="H22" s="100">
        <f t="shared" ref="H22" si="0">H9+H11+H13+H15+H17+H19+H21</f>
        <v>7538.4119999999994</v>
      </c>
      <c r="I22" s="100">
        <f>G22+H22</f>
        <v>14181.369999999999</v>
      </c>
    </row>
    <row r="23" spans="1:9" ht="15.75" thickBot="1" x14ac:dyDescent="0.3">
      <c r="A23" s="94"/>
      <c r="B23" s="95"/>
      <c r="C23" s="95"/>
      <c r="D23" s="96" t="s">
        <v>28</v>
      </c>
      <c r="E23" s="88"/>
      <c r="F23" s="88"/>
      <c r="G23" s="89">
        <f>G22/$E$22</f>
        <v>0.46842850867017788</v>
      </c>
      <c r="H23" s="89">
        <f>H22/$E$22</f>
        <v>0.53157149132982218</v>
      </c>
      <c r="I23" s="105">
        <f>SUM(G23:H23)</f>
        <v>1</v>
      </c>
    </row>
    <row r="24" spans="1:9" ht="26.25" thickBot="1" x14ac:dyDescent="0.3">
      <c r="A24" s="4"/>
      <c r="B24" s="90"/>
      <c r="C24" s="90"/>
      <c r="D24" s="91" t="s">
        <v>29</v>
      </c>
      <c r="E24" s="92"/>
      <c r="F24" s="92"/>
      <c r="G24" s="93">
        <f>G23</f>
        <v>0.46842850867017788</v>
      </c>
      <c r="H24" s="93">
        <f>G24+H23</f>
        <v>1</v>
      </c>
      <c r="I24" s="93"/>
    </row>
  </sheetData>
  <mergeCells count="37">
    <mergeCell ref="B22:D22"/>
    <mergeCell ref="E8:E9"/>
    <mergeCell ref="B12:D13"/>
    <mergeCell ref="A12:A13"/>
    <mergeCell ref="E10:E11"/>
    <mergeCell ref="E12:E13"/>
    <mergeCell ref="B20:D21"/>
    <mergeCell ref="A8:A9"/>
    <mergeCell ref="A10:A11"/>
    <mergeCell ref="A14:A15"/>
    <mergeCell ref="A16:A17"/>
    <mergeCell ref="A18:A19"/>
    <mergeCell ref="A20:A21"/>
    <mergeCell ref="E20:E21"/>
    <mergeCell ref="B1:E1"/>
    <mergeCell ref="F1:I5"/>
    <mergeCell ref="B2:E2"/>
    <mergeCell ref="A6:I6"/>
    <mergeCell ref="E18:E19"/>
    <mergeCell ref="F18:F19"/>
    <mergeCell ref="B18:D19"/>
    <mergeCell ref="B7:D7"/>
    <mergeCell ref="B10:D11"/>
    <mergeCell ref="E14:E15"/>
    <mergeCell ref="F14:F15"/>
    <mergeCell ref="B8:D9"/>
    <mergeCell ref="B14:D15"/>
    <mergeCell ref="F8:F9"/>
    <mergeCell ref="F10:F11"/>
    <mergeCell ref="F12:F13"/>
    <mergeCell ref="A3:A4"/>
    <mergeCell ref="B3:E4"/>
    <mergeCell ref="B5:C5"/>
    <mergeCell ref="F20:F21"/>
    <mergeCell ref="B16:D17"/>
    <mergeCell ref="E16:E17"/>
    <mergeCell ref="F16:F17"/>
  </mergeCells>
  <pageMargins left="1" right="1" top="1" bottom="1" header="0.5" footer="0.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Orçamento</vt:lpstr>
      <vt:lpstr>Memória de Cálculo</vt:lpstr>
      <vt:lpstr>Cronograma</vt:lpstr>
      <vt:lpstr>'Memória de Cálculo'!Area_de_impressao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Núbia</dc:creator>
  <cp:lastModifiedBy>PMJM</cp:lastModifiedBy>
  <cp:lastPrinted>2021-01-29T17:08:53Z</cp:lastPrinted>
  <dcterms:created xsi:type="dcterms:W3CDTF">2018-06-05T11:13:36Z</dcterms:created>
  <dcterms:modified xsi:type="dcterms:W3CDTF">2021-03-03T17:32:35Z</dcterms:modified>
</cp:coreProperties>
</file>