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10" tabRatio="618"/>
  </bookViews>
  <sheets>
    <sheet name="PLANILHA QUADRA MODELO 3" sheetId="1" r:id="rId1"/>
    <sheet name="CRONOGRAMA FÍSICO FINANCEIRO" sheetId="2" r:id="rId2"/>
    <sheet name="PLANO DE APLICAÇÃO" sheetId="3" r:id="rId3"/>
  </sheets>
  <definedNames>
    <definedName name="__Anonymous_Sheet_DB__1">#N/A</definedName>
    <definedName name="__Anonymous_Sheet_DB__1_1">#N/A</definedName>
    <definedName name="__Anonymous_Sheet_DB__2">#N/A</definedName>
    <definedName name="_xlnm._FilterDatabase" localSheetId="0" hidden="1">#N/A</definedName>
    <definedName name="_xlnm.Print_Area" localSheetId="1">#N/A</definedName>
    <definedName name="_xlnm.Print_Area" localSheetId="0">#N/A</definedName>
    <definedName name="Excel_BuiltIn__FilterDatabase" localSheetId="0">#N/A</definedName>
    <definedName name="Excel_BuiltIn__FilterDatabase_1">#N/A</definedName>
    <definedName name="Excel_BuiltIn_Print_Area" localSheetId="0">#N/A</definedName>
    <definedName name="_xlnm.Print_Area" localSheetId="2">#N/A</definedName>
    <definedName name="_xlnm.Print_Titles" localSheetId="0">'PLANILHA QUADRA MODELO 3'!$1:$7</definedName>
  </definedNames>
  <calcPr calcId="144525"/>
</workbook>
</file>

<file path=xl/sharedStrings.xml><?xml version="1.0" encoding="utf-8"?>
<sst xmlns="http://schemas.openxmlformats.org/spreadsheetml/2006/main" count="720" uniqueCount="537">
  <si>
    <t xml:space="preserve">        SECRETARIA DE ESTADO DE EDUCAÇÃO - DIRETORIA DE INFRAESTRUTURA ESCOLAR E GESTÃO DA REDE FÍSICA - PLANILHA DE SERVIÇOS</t>
  </si>
  <si>
    <t xml:space="preserve">ESCOLA: Escola Municpal Monteiro Lobato                                                                                                                                        </t>
  </si>
  <si>
    <t xml:space="preserve">MUNICÍPIO: João Monlevade                                                                                                                                                        </t>
  </si>
  <si>
    <t>ISS</t>
  </si>
  <si>
    <t>SERVIÇOS:Construção de quadra poliesportiva</t>
  </si>
  <si>
    <t xml:space="preserve">BDI OBRA </t>
  </si>
  <si>
    <t xml:space="preserve">BDI PROJETO </t>
  </si>
  <si>
    <t>ITEM</t>
  </si>
  <si>
    <t>DESCRIÇÃO</t>
  </si>
  <si>
    <t>UNID.</t>
  </si>
  <si>
    <t>ANALISADO</t>
  </si>
  <si>
    <t>LOCAL DE INTERVENÇÃO</t>
  </si>
  <si>
    <t>QUANT.</t>
  </si>
  <si>
    <t>PREÇO UNITÁRIO</t>
  </si>
  <si>
    <t>PREÇO UNITÁRIO C/ BDI</t>
  </si>
  <si>
    <t>TOTAL</t>
  </si>
  <si>
    <t>MEMÓRIA DE CALCULO</t>
  </si>
  <si>
    <t>010000</t>
  </si>
  <si>
    <t>INSTALAÇÃO DOS SERVIÇOS DE ENGENHARIA</t>
  </si>
  <si>
    <t>010001</t>
  </si>
  <si>
    <t>Locação dos serviços de engenharia: execução de gabarito</t>
  </si>
  <si>
    <t>M²</t>
  </si>
  <si>
    <t>28*18</t>
  </si>
  <si>
    <t>Área de projeção da quadra</t>
  </si>
  <si>
    <t>Será medido pela área de obra locada, aferida entre os eixos de fundação e acrescentando-se 0,50 m, a partir do eixo, para o lado externo (m²).
O item remunera o fornecimento de pontaletes em Pinus ou Cedrinho de 3" x 3"; tábuas em Pinus de 1" x 12"; arame galvanizado; inclusive materiais acessórios e a mão-de-obra necessária para os serviços de locação completa em obras de edificação compreendendo: locação de estacas, eixos principais, paredes, etc.</t>
  </si>
  <si>
    <t>010003</t>
  </si>
  <si>
    <t>Fornecimento e colocação de placa dos serviços de engenharia em chapa galvanizada (3,00 X 1,50m)   -  Governo do Estado  -  (Ampliação e / ou Reforma acima de R$ 30.000,00)</t>
  </si>
  <si>
    <t>UN</t>
  </si>
  <si>
    <t>Rente ao muro de divisa da escola</t>
  </si>
  <si>
    <t>Será medido por unidade de placa instalada (UN).
O item remunera as placas de obras que deverão ser confeccionadas em chapa galvanizada 0,26. As chapas serão afixadas com rebites 540 e parafusos 3/8, em uma estrutura metálica com viga U 2” enrijecida e Metalon 20x20. O suporte para a instalação deverá ser em Eucalipto Autoclavado. As placas serão pintadas na frente e no verso com fundo anticorrosivo e tinta automotiva. FORMATO: 3,00 x 1,50m. O tamanho da placa é definido em função do local da sua instalação e/ou do valor dos serviços acima de R$ 30.000,00, obedecendo à proporção de 6,00 x 3,00m e o manual de identidade visual do Governo de Minas.</t>
  </si>
  <si>
    <t>010004</t>
  </si>
  <si>
    <t>Limpeza do terreno, raspagem, capina e queima manual</t>
  </si>
  <si>
    <r>
      <rPr>
        <sz val="14"/>
        <rFont val="Calibri"/>
        <charset val="134"/>
      </rPr>
      <t>M</t>
    </r>
    <r>
      <rPr>
        <vertAlign val="superscript"/>
        <sz val="14"/>
        <rFont val="Calibri"/>
        <charset val="134"/>
      </rPr>
      <t>2</t>
    </r>
  </si>
  <si>
    <t>31*21+3*3</t>
  </si>
  <si>
    <t>Área de implantação da quadra</t>
  </si>
  <si>
    <t>Será medido pela área real do terreno, onde ocorrer a limpeza manual de vegetação (m²).
O item remunera o fornecimento de caminhão basculante, a mão-de-obra necessária e ferramentas auxiliares para a execução dos serviços executados manualmente com auxílio de ferramental apropriado para a roçada, derrubada de árvores e arbustos, destocamento, fragmentação de galhos e troncos, empilhamento e transporte, abrangendo: a remoção de vegetação, árvores e arbustos com diâmetro do tronco até 5 cm, medidos na altura de 1,00 m do solo, capim. etc.; arrancamento e remoção de tocos, raízes e troncos; raspagem manual da camada de solo vegetal na espessura mínima de 15 cm; carga manual; e o transporte, interno na obra, num raio de 500m.</t>
  </si>
  <si>
    <t>010006</t>
  </si>
  <si>
    <t>Barracão em madeira, piso cimentado e cobertura em telhas de fibrocimento ondulada</t>
  </si>
  <si>
    <t>3,3*3,3</t>
  </si>
  <si>
    <t>Local a ser definido com a fiscalização</t>
  </si>
  <si>
    <t>Será medido pela área de projeção da cobertura de construção provisória executada, com croqui analisado e aprovado previamente pela fiscalização. (M²)
O item remunera o fornecimento de materiais e mão-de-obra necessários para a execução de construção provisória em madeira destinada a escritório e/ou depósito de obra, constituída por: piso interno e calçada externa em concreto usinado, Fck 20 MPa; paredes, portas e janelas em chapa compensada plastificada de no mínimo 6 mm de espessura, e / ou compensado resinado com seladora impermeabilizante e aplicação de textura na pintura; janelas com vidro fantasia de 3 ou 4mm; porta com dobradiças de latão cromado e fechadura de embutir cromada e com miolo tipo Georges; estrutura, apoio para cobertura e contraventamentos em pontaletes e tábuas de Pinus ou Cedrinho e engradamento da cobertura de eucalípto imunizado, cobertura com telha em fibrocimento, perfil ondulado de no mínimo 5 mm de espessura; instalação elétrica e pintura acrílica, materiais acessórios para execução total da construção provisória, conforme norma regulamentadora. Devem obedecer a NR 18 (Áreas de vivência).  Remunera também a manutenção durante todo o periodo da obra e a demobilização completa deste barracão.</t>
  </si>
  <si>
    <t>SUB-TOTAL =</t>
  </si>
  <si>
    <t>030000</t>
  </si>
  <si>
    <t>TRABALHOS EM TERRA</t>
  </si>
  <si>
    <t>030001</t>
  </si>
  <si>
    <t>Aterro Compactado manual, com soquete</t>
  </si>
  <si>
    <r>
      <rPr>
        <sz val="14"/>
        <rFont val="Calibri"/>
        <charset val="134"/>
      </rPr>
      <t>M</t>
    </r>
    <r>
      <rPr>
        <vertAlign val="superscript"/>
        <sz val="14"/>
        <rFont val="Calibri"/>
        <charset val="134"/>
      </rPr>
      <t>3</t>
    </r>
  </si>
  <si>
    <t>31*1,5*2*0,05+18*2*0,05+(2,35+1,36)*1,36*0,25+3,89*1,36*0,44</t>
  </si>
  <si>
    <t>Passeio  lateral e rampa</t>
  </si>
  <si>
    <t>Será medido pelo volume de aterro compactado (m³).
O item remunera o fornecimento de equipamentos e mão-de-obra necessários para execução dos serviços de aterro interno, com material existente ou importado, incluindo o apiloamento em camadas, de 20 cm, com maço de 30 kg e a disposição das sobras.</t>
  </si>
  <si>
    <t>030002</t>
  </si>
  <si>
    <t>Escavação  manual de vala em solo de 1ª e 2ª categoria, profundidade em até 2,00m</t>
  </si>
  <si>
    <t>28*0,25*0,46*2+18*0,25*0,46*2+(18,6+3,02)*0,25*0,46*2+(4,46+2,25+2,41+2,25+2,41+0,2)*0,25*0,46+0,4*0,25*0,46*2+15,4*0,25*0,46*2+1,1*0,25*0,4*2+(3,75+1,66)*0,25*0,46+(2,58+3,74)*0,25*0,46+1,24*0,25*0,46+4,7*0,25*0,46+(2,11*2+0,18*3)*0,25*0,46+1,82*0,25*0,46+0,75*0,75*0,8*14+0,45*0,45*0,46*15</t>
  </si>
  <si>
    <t>Baldrames,blocos e coroamento</t>
  </si>
  <si>
    <t>Será medido pelo volume escavado, considerando-se um acréscimo para cada lado, no plano horizontal, em relação às dimensões de cada peça, de 20 cm (m³).
O item remunera o fornecimento da mão-de-obra necessária para a escavação manual em solo de 1ª e 2ª categorias em valas ou cavas até 2,00 m de profundidade.</t>
  </si>
  <si>
    <t>030003</t>
  </si>
  <si>
    <t xml:space="preserve">Escavação  manual em campo aberto em solo exceto rocha com profundidade em até 2,00m </t>
  </si>
  <si>
    <t>3,14*1,3*1,3*1,7</t>
  </si>
  <si>
    <t>Reservatório de água pluvial</t>
  </si>
  <si>
    <t>Será medido pelo volume real escavado (m³).
O item remunera o fornecimento da mão-de-obra necessária para a escavação manual em solo, de primeira ou segunda categoria, em campo aberto.</t>
  </si>
  <si>
    <t>030005</t>
  </si>
  <si>
    <t>Reaterro manual de vala apiloado</t>
  </si>
  <si>
    <t>28*0,05*0,4*2+18*0,05*0,4*2+(18,6+3,02)*0,05*0,4*2+(4,46+2,25+2,41+2,25+2,41+0,2)*0,05*0,4+0,4*0,05*0,4*2+15,4*0,05*0,4*2+1,1*0,05*0,4*2+(3,75+1,66)*0,05*0,4+(2,58+3,74)*0,05*0,4+1,24*0,05*0,4+4,7*0,05*0,4+(2,11*2+0,18*3)*0,05*0,4+1,82*0,05*0,4+14*,05*,05*,7+15*,05*,05*,4</t>
  </si>
  <si>
    <t>Será medido pelo volume de reaterro em valas, poços ou cavas executado (m³).
O item remunera o fornecimento da mão-de-obra necessária para a execução dos serviços de reaterro manual apiloado, com material existente ou importado, sem controle de compactação.</t>
  </si>
  <si>
    <t>030007</t>
  </si>
  <si>
    <t xml:space="preserve">Escavação manual de tubulão à céu aberto </t>
  </si>
  <si>
    <t>3,14*0,7*0,7/4*2*14</t>
  </si>
  <si>
    <t>Tubulão para pilares metálicos</t>
  </si>
  <si>
    <t>Será medido pelo volume escavado até a cota prevista (m³)
O item remunera o fornecimento de mão de obra, ferramentas e equipamentos necessários para a execução dos serviços de escavação do tubulão a céu aberto.
Remunera também a locação do tubulão, o alargamento da base, esgotamento caso seja encontrado quantidade de água que impeça a continuidade da escavação</t>
  </si>
  <si>
    <t xml:space="preserve"> </t>
  </si>
  <si>
    <t>040000</t>
  </si>
  <si>
    <t>SONDAGEM, FUNDAÇÕES, MUROS E CONTENÇÕES</t>
  </si>
  <si>
    <t>040001</t>
  </si>
  <si>
    <r>
      <rPr>
        <b/>
        <sz val="12"/>
        <rFont val="Calibri"/>
        <charset val="134"/>
      </rPr>
      <t>Armadura de aço, CA 50, corte e dobra no canteiro</t>
    </r>
    <r>
      <rPr>
        <sz val="12"/>
        <rFont val="Calibri"/>
        <charset val="134"/>
      </rPr>
      <t xml:space="preserve">                                                                                                                    </t>
    </r>
  </si>
  <si>
    <t>KG</t>
  </si>
  <si>
    <t>33,8*35</t>
  </si>
  <si>
    <t>Fundação</t>
  </si>
  <si>
    <t>Será medido pelo peso nominal das bitolas constantes no projeto de armadura (kg).
O item remunera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transpasse para emendas.</t>
  </si>
  <si>
    <t>040002</t>
  </si>
  <si>
    <t xml:space="preserve">Fôrma de madeira para fundação, com tábuas e sarrafos, 3 aproveitamentos e desforma </t>
  </si>
  <si>
    <t>28*0,4*4+18*0,4*4+21,62*0,4*4+(3,75+1,66)*0,4*2+15,4*0,4*6+(3,74+2,58)*0,4*2+1,24*0,4*2+4,7*0,4*2+1,82*0,4*2+4,22*0,4*2+0,7*0,4*4*14+15*0,4*4</t>
  </si>
  <si>
    <t>Será medido pelo desenvolvimento das áreas em contato com o concreto, não se descontando áreas de interseção até 0,20 m² (m²).
O item remunera o fornecimento dos materiais e a mão-de-obra para execução e instalação da forma, incluindo escoras, gravatas, desmoldante e desforma.</t>
  </si>
  <si>
    <t>040003</t>
  </si>
  <si>
    <t>Concreto armado para fundação (incluindo fornecimento, transporte, lançamento, forma e desforma)</t>
  </si>
  <si>
    <t>3,14*1,3*1,3*0,08</t>
  </si>
  <si>
    <t>Laje reservatório subterrâneo</t>
  </si>
  <si>
    <t>Será medido pelo volume calculado no projeto de formas, sendo que o volume da interseção dos diversos elementos estruturais deve ser computado uma só vez (m³).
O item remunera o fornecimento de betoneira, pedra britada números 1 e 2, cimento, areia e a mão-de-obra necessária para o preparo do concreto, com resistência mínima à compressão de 20,0 MPa. Remunera também o transporte, lançamento e adensamento. Está também incluido e remunerado 70Kg por m³ de concreto de armadura considerando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 e também 8m² de forma por m³ de concreto considerando o fornecimento dos materiais e a mão-de-obra para execução e instalação da forma, incluindo escoras, gravatas, desmoldante e desforma.</t>
  </si>
  <si>
    <t>040004</t>
  </si>
  <si>
    <t>Concreto estrutural virado no local,controle "A", consistência para vibração, brita 1, FCK=20 MPA e lançamento em fundação</t>
  </si>
  <si>
    <t>M³</t>
  </si>
  <si>
    <t>28*0,2*0,4*2+18*0,2*0,4*2+(18,6+3,02)*0,2*0,4*2+(4,46+2,25+2,41+2,25+2,41+0,2)*0,2*0,4+0,4*0,2*0,4*2+15,4*0,2*0,4*2+1,1*0,2*0,4*2+(3,75+1,66)*0,2*0,4+(2,58+3,74)*0,2*0,4+1,24*0,2*0,4+4,7*0,2*0,4+(2,11*2+0,18*3)*0,2*0,4+1,82*0,2*0,4+10,77+14*0,7*0,7*0,8+15*0,4*0,4*0,4</t>
  </si>
  <si>
    <t>Será medido pelo volume calculado no projeto de formas, sendo que o volume da interseção dos diversos elementos estruturais deve ser computado uma só vez (m³).
O item remunera o fornecimento de betoneira, pedra britada número 1, cimento, areia e a mão-de-obra necessária para o preparo do concreto, com resistência mínima à compressão de 20,0 MPa. Remunera também o transporte, lançamento e adensamento.</t>
  </si>
  <si>
    <t>040005</t>
  </si>
  <si>
    <t>Lastro de concreto (contra-piso) não estrutural impermeabilizado, E=6 cm</t>
  </si>
  <si>
    <t>28*0,25*2+18*0,25*2+(18,6+3,02)*0,25*2+(4,46+2,25+2,41+2,25+2,41+0,2)*0,25+0,4*0,25*2+15,4*0,25*2+1,1*0,25*2+(3,75+1,66)*0,25+(2,58+3,74)*0,25+1,24*0,25+4,7*0,25+(2,11*2+0,18*3)*0,25+1,82*0,25+14*0,7*0,7+15*0,4*0,4+1,3*1,3*3,14</t>
  </si>
  <si>
    <t>Será medido pela área onde será executado, na espessura mínima de 6cm (m²).
O item remunera o fornecimento de cimento, areia, pedra britada nº 1, 2, e a mão-de-obra necessária para o apiloamento do terreno e execução do lastro.</t>
  </si>
  <si>
    <t>040300</t>
  </si>
  <si>
    <t>Sondagem a percurssão</t>
  </si>
  <si>
    <t>040301</t>
  </si>
  <si>
    <t>Mobilização e desmobilização por equipamentos de sondagem a percussão d= 2 1/2"</t>
  </si>
  <si>
    <t>Mobilização</t>
  </si>
  <si>
    <t>Será medido por unidade de transporte e instalação de equipamento de sondagem (un).
O item remunera o fornecimento e instalação de equipamentos necessários para execução de sondagem, a mobilização e desmobilização dos mesmos, independente da distância entre a empresa fornecedora e o local da sondagem.</t>
  </si>
  <si>
    <t>040302</t>
  </si>
  <si>
    <t>Sondagem a percurssão d=2 1/2" (profundidade mínima para medição 30m)</t>
  </si>
  <si>
    <t>M</t>
  </si>
  <si>
    <t>Mínmo de 3 furos de sondagem a serem executados no local de implantação da quadra.</t>
  </si>
  <si>
    <t>Será medido pelo comprimento total dos furos de sondagem executados, sendo a quantidade mínima para medição 30 metros (m).
O item remunera o fornecimento da mão-de-obra qualificada necessária para a execução de sondagem a percussão, remunera também as peças gráficas e relatórios pertinentes.</t>
  </si>
  <si>
    <t>050000</t>
  </si>
  <si>
    <t>SUPERESTRUTURA</t>
  </si>
  <si>
    <t>050005</t>
  </si>
  <si>
    <t>Concreto armado (incluindo fornecimento, transporte, lançamento, forma e desforma)</t>
  </si>
  <si>
    <t>0,15*0,15*1,5*16+22*0,15*0,15*0,5+0,18*0,2*6*3+0,2*0,2*4*3+0,15*0,15*10*0,5+5*0,15*0,15*1+1,3*1,3*0,08*3,14</t>
  </si>
  <si>
    <t>Pilares e pilaretes da superestrutura e tampa reservatório subterrâneo</t>
  </si>
  <si>
    <t>Será medido pelo volume calculado no projeto de formas, sendo que o volume da interseção dos diversos elementos estruturais deve ser computado uma só vez (m³).
O item remunera o fornecimento de betoneira, pedra britada números 1 e 2, cimento, areia e a mão-de-obra necessária para o preparo do concreto, com resistência mínima à compressão de 25,0 MPa. Remunera também o transporte, lançamento e adensamento. Está também incluido e remunerado 80Kg por m³ de concreto de armadura considerando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 e também 15m² de forma de compensado plastificado por m³ de concreto considerando o fornecimento dos materiais e a mão-de-obra para execução e instalação da forma, incluindo escoras, gravatas, desmoldante e desforma.</t>
  </si>
  <si>
    <t>050009</t>
  </si>
  <si>
    <t>Laje pré-fabricada treliçada para piso, intereixo 50 cm e=25cm (capeamento 5 cm e elemento cerâmico 20 cm) sobrecarga mínima 300 Kgf / m²</t>
  </si>
  <si>
    <t>(4,46+2,25+2,41+2,4+2,46)*0,4+15,8*0,7+15,8*0,4+(2,11*2+0,2+0,36)*2,2+2,96*4,14+10,24*3,74-2,35*1,36-1,36*4,89+2,58*3,74</t>
  </si>
  <si>
    <t>Laje arquibancada, palco, instalações sanitárias, depósito e camarim</t>
  </si>
  <si>
    <t>Será medido pela área delimitada pelos eixos das paredes e/ou vigas (m²).
O item remunera o fornecimento de vigota pré-fabricada treliçada; lajota cerâmica; concreto com fck maior ou igual a 25MPa, para o capeamento; aço para armadura de distribuição; materiais  acessórios e a mão-de-obra necessária para a execução dos serviços: a estocagem das vigotas e lajotas cerâmicas conforme exigências e recomendações do fabricante; o transporte interno à obra; o içamento das vigotas e das lajotas cerâmicas; a montagem completa das vigotas treliçadas e das lajotas cerâmicas; resultando laje para piso; a execução e instalação da armadura de distribuição posicionada na capa, para o controle da fissuração; o escoramento até 3,00 m de altura e a retirada do mesmo.</t>
  </si>
  <si>
    <t>060000</t>
  </si>
  <si>
    <t>ALVENARIA</t>
  </si>
  <si>
    <t>060100</t>
  </si>
  <si>
    <t>Execução de:</t>
  </si>
  <si>
    <t>060107</t>
  </si>
  <si>
    <t xml:space="preserve">Alvenaria de vedação com bloco de concreto, 14x19x39 cm, espessura da parede 14 cm, juntas de 10mm com argamassa mista de cimento, cal hidratada e areia sem peneirar traço 1:0,5:8 </t>
  </si>
  <si>
    <t>(28-4,7)*2*1,5+18*1,5+18*3+21,62*0,5*2+(3,75+1,66)*0,5+15,8*0,5+0,4*0,5*2+15,8*0,5+15,8*1+2,58*3+4,7*3*3+3,74*2,5+(4,22+0,56)*0,3+1,82*3+1,1*1*2-1,6*2*1,5+8,24*0,5+4,78*1+2,02*1</t>
  </si>
  <si>
    <t>Alvenaria conforme consta  em projeto</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</si>
  <si>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14 x 19 x 39 cm, e resistência mínima à compressão de acordo com a NBR 6136.</t>
  </si>
  <si>
    <t>070000</t>
  </si>
  <si>
    <t>COBERTURA E FORRO</t>
  </si>
  <si>
    <t>070100</t>
  </si>
  <si>
    <t xml:space="preserve">Fornecimento, transporte e colocação de telhas, tipo: </t>
  </si>
  <si>
    <t>070400</t>
  </si>
  <si>
    <t>Instalação de Calhas e rufos:</t>
  </si>
  <si>
    <t>Será medido por comprimento instalado (m).
Os itens remuneram o fornecimento e instalação de calhas ou rufos em chapa galvanizada nº 24, com desenvolvimento descrito no item, inclusive materiais acessórios para emendas, junção em outras peças, vedação e fixação.</t>
  </si>
  <si>
    <t>070403</t>
  </si>
  <si>
    <t>Calha de chapa galvanizada, nº 24 desenvolvimento 60 cm</t>
  </si>
  <si>
    <t>28*2</t>
  </si>
  <si>
    <t>Nas duas águas da cobertura</t>
  </si>
  <si>
    <t>070500</t>
  </si>
  <si>
    <t>Condutor de água pluvial e buzinotes</t>
  </si>
  <si>
    <t>Será medido por comprimento instalado (m).
O item remunera o fornecimento de materiais e mão de obra para instalação de tubo na cor branca (condutores) verticais e executadas com PVC reforçado com  as juntas com bolsa e anel de borracha, inclusive materiais acessórios para emendas, suportes, junção em outras peças, vedação e fixação.</t>
  </si>
  <si>
    <t>070502</t>
  </si>
  <si>
    <t>Condutor de água (tubo de PVC branco, com conexões, ponta bolsa e virola, diâmetro da seção 100mm)</t>
  </si>
  <si>
    <t>8*6</t>
  </si>
  <si>
    <t>8 descidas de água pluvial da cobertura</t>
  </si>
  <si>
    <t>080000</t>
  </si>
  <si>
    <t>INSTALAÇÕES HIDRÁULICAS</t>
  </si>
  <si>
    <t>080100</t>
  </si>
  <si>
    <t>Fonecimento e instalação de:</t>
  </si>
  <si>
    <t>080101</t>
  </si>
  <si>
    <t>Torneira de pressão para uso geral, amarela, p/ jardim</t>
  </si>
  <si>
    <t>Será medido por unidade de torneira instalada (un).
O item remunera o fornecimento e instalação de torneira curta com rosca, para uso geral, em latão fundido sem acabamento de 1/2" ou 3/4"; inclusive materiais acessórios necessários à  instalação e ligação à rede de água.</t>
  </si>
  <si>
    <t>080105</t>
  </si>
  <si>
    <t>Torneira de boia para Caixa d'água Ø 32mm.</t>
  </si>
  <si>
    <t>Reservatório superior</t>
  </si>
  <si>
    <t>Será medido por unidade de torneira instalada (un).
O item remunera o fornecimento e a instalação da torneira de bóia, com diâmetro nominal de 1", inclusive material de vedação.</t>
  </si>
  <si>
    <t>080200</t>
  </si>
  <si>
    <t>Fornecimento e instalação de:</t>
  </si>
  <si>
    <t>080201</t>
  </si>
  <si>
    <t>Válvula de descarga metálica com registro interno e canopla,D: 32mm (1 1/4") ou 40mm (1 1/2)</t>
  </si>
  <si>
    <t>Instlalação sanitária</t>
  </si>
  <si>
    <t>Será medido por unidade de válvula de descarga instalada (un).
O item remunera o fornecimento e instalação da válvula de descarga, com registro próprio, em latão ou bronze, com acabamento cromado liso, diâmetro nominal de 1 1/4" ou 1 1/2",  inclusive materiais acessórios de vedação e o tubo de descida.</t>
  </si>
  <si>
    <t>080207</t>
  </si>
  <si>
    <t>Lavatório de louça, sem coluna completa para fixação direta.</t>
  </si>
  <si>
    <t>Instalação sanitária PNE</t>
  </si>
  <si>
    <t>Será medido por unidade instalada (un).
O item remunera o fornecimento e a instalação do lavatório constituído por: lavatório de louça sem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</si>
  <si>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080210</t>
  </si>
  <si>
    <t>Vaso sanitário convencional branca.</t>
  </si>
  <si>
    <t>Será medido por unidade instalada (un).
O item remunera o fornecimento da bacia sifonada de louça conforme as normas vigentes NBR 15097 e NBR 15099. Remunera também: bolsa de borracha; anel de borracha de expansão de 4"; tubo de ligação com canopla, parafusos niquelados; massa de vidro para fixação e assentamento da base; materiais acessórios e a mão-de-obra necessária para a instalação e ligação às redes de água e esgoto.</t>
  </si>
  <si>
    <t>080400</t>
  </si>
  <si>
    <t>Fornecimento e instalação de registro de gaveta com e sem acabamento:</t>
  </si>
  <si>
    <t>Será medido por unidade de registro instalado (un).
O item remunera o fornecimento e instalação de registro de gaveta em latão fundido, diâmetro e acabamento como especificado, inclusive materiais acessórios e de vedação.</t>
  </si>
  <si>
    <t>080406</t>
  </si>
  <si>
    <t>Com canopla diâmetro 20mm (3/4") - (acabamento cromado)</t>
  </si>
  <si>
    <t>Bebedouro</t>
  </si>
  <si>
    <t>080409</t>
  </si>
  <si>
    <t>Com canopla diâmetro 40mm (1 1/2") - (acabamento cromado)</t>
  </si>
  <si>
    <t xml:space="preserve">Instlalação sanitária </t>
  </si>
  <si>
    <t>080500</t>
  </si>
  <si>
    <t>Serviços de fixação de:</t>
  </si>
  <si>
    <t>080600</t>
  </si>
  <si>
    <t>Fornecimento, transporte e instalação de:</t>
  </si>
  <si>
    <t>080601</t>
  </si>
  <si>
    <t>Conjunto elevatório motor-bomba (bomba centrífuga) de 3/4 HP</t>
  </si>
  <si>
    <t>Eletrobomba reservatório subterrâneo</t>
  </si>
  <si>
    <t xml:space="preserve">Será medido por unidade de conjunto motor-bomba instalado e testado de acordo com a vazão exigida em projeto (un).
O item remunera o fornecimento e instalação de conjunto motor-bomba centrífuga com multiestágio trifásico, potência de 13/4HP, para vazões de no mínimo 10,8 m³/h com altura manométrica mínima de 20m, remunera também materiais complementares e acessórios como chumbadores e a mão-de-obra necessária para a fixação, instalação completa e realização dos testes de funcionamento.
</t>
  </si>
  <si>
    <t>080700</t>
  </si>
  <si>
    <t>Fornecimento, transporte e instalação da rede de água fria em tubo em PVC:</t>
  </si>
  <si>
    <t>Será medido por comprimento (m):
O item remunera o fornecimento e instalação de tubos de PVC rígido soldável  ou roscável de diâmetro especificado; para rede de água fria, inclusive conexões e materiais acessórios; abertura e fechamento de rasgos, para tubulações embutidas; ou escavação e reaterro apiloado de valas com profundidade média de 60 cm, para tubulações enterradas; ou fixação por grampos ou presilhas quando a tubulação for aparente.</t>
  </si>
  <si>
    <t>080705</t>
  </si>
  <si>
    <t>Tubo PVC soldável  25mm (com conexões), incluindo serviços de rasgo e enchimento de rasgo em alvenaria com argamassa para passagem de tubulação</t>
  </si>
  <si>
    <t>Alimentação instalação sanitária e bebedouro</t>
  </si>
  <si>
    <t>080707</t>
  </si>
  <si>
    <t>Tubo PVC soldável  40mm (com conexões), incluindo serviços de rasgo e enchimento de rasgo em alvenaria com argamassa para passagem de tubulação</t>
  </si>
  <si>
    <t>Alimentação instalação sanitária</t>
  </si>
  <si>
    <t>080800</t>
  </si>
  <si>
    <t>Fornecimento, transporte e instalação de reservatório d´água:</t>
  </si>
  <si>
    <t>Será medido por unidade de reservatório instalado (un).
O item remunera o fornecimento de reservatório com capacidade especificada destinado ao armazenamento de água, constituído por: corpo cilíndrico em polietileno ou fibra de vidro, acabamento interno liso para evitar o crescimento e proliferação de algas e fungos; tampa superior de encaixe ou alçapão para inspeção; furações para: entrada, saída e ladrão e a mão-de-obra necessária para o transporte interno, assentamento e instalação completa do reservatório.</t>
  </si>
  <si>
    <t>080801</t>
  </si>
  <si>
    <t xml:space="preserve">De polietileno cilindrico com tampa, capacidade 1.000 litros </t>
  </si>
  <si>
    <t>Instalaçao sanitária</t>
  </si>
  <si>
    <t>080805</t>
  </si>
  <si>
    <t xml:space="preserve">Em fibra de vidro cilíndrico com tampa, capacidade 5.000 litros </t>
  </si>
  <si>
    <t>Reservatório subterrâneo de água pluvial</t>
  </si>
  <si>
    <t>080903</t>
  </si>
  <si>
    <t>Dispenser toalheiro em ABS para folhas de papel</t>
  </si>
  <si>
    <t>Será medido por unidade de dispenser toalheiro instalado (un).
O item remunera o fornecimento e instalação do porta-papel de parede (dispenser toalheiro), em plástico ABS branco, com fecho de segurança, para papel com duas, ou três dobras,  inclusive material de fixação.</t>
  </si>
  <si>
    <t>081103</t>
  </si>
  <si>
    <t>Porta -papel de louça branca</t>
  </si>
  <si>
    <t>Será medido por unidade instalada (un).
O item remunera o fornecimento e a instalação de porta-papel de louça de 15 x 15 cm; cimento, areia, cimento branco, inclusive materiais acessórios necessários para a argamassa de assentamento e rejuntamento.</t>
  </si>
  <si>
    <t>081104</t>
  </si>
  <si>
    <t>Saboneteira de louça branca sem alça</t>
  </si>
  <si>
    <t>Será medido por unidade instalada (un).
O item remunera o fornecimento e a instalação de saboneteira de louça de 15 x 15 cm; cimento, areia, cimento branco, inclusive materiais acessórios necessários para a argamassa de assentamento e rejuntamento.</t>
  </si>
  <si>
    <t>081106</t>
  </si>
  <si>
    <t>Ralo Seco PVC quadrado 100 X 40mm com grelha branca</t>
  </si>
  <si>
    <t>Será medido por unidade de ralo instalado (un).
O item remunera o fornecimento e instalação de ralo seco em PVC rígido, de 100 x 40 mm, com grelha de PVC, inclusive materiais acessórios.</t>
  </si>
  <si>
    <t>081107</t>
  </si>
  <si>
    <t>Ducha higiênica com registro para controle do fluxo de água 1/2"</t>
  </si>
  <si>
    <t>Instalação sanitária</t>
  </si>
  <si>
    <t>Será medido por unidade instalada (un).
O item remunera o fornecimento e a instalação da ducha higiênica manual com registro para controle de fluxo de águas de 1/2" cromada, inclusive materiais acessórios necessários à instalação e ligação à rede de água.</t>
  </si>
  <si>
    <t>090000</t>
  </si>
  <si>
    <t>INSTALAÇÕES SANITÁRIAS</t>
  </si>
  <si>
    <t>090100</t>
  </si>
  <si>
    <t>090101</t>
  </si>
  <si>
    <t>Caixa de Inspeção ou passagem em alvenaria  60 X 60 X 60 cm, inclusive tampa em concreto, escavação, reaterro e bota-fora</t>
  </si>
  <si>
    <t>9 caixas drenagem pluvial, 1 caixas instalação sanitária</t>
  </si>
  <si>
    <t>Será medido por unidade de caixa executada (un).
O item remunera o fornecimento de materiais e mão-de-obra necessários para a execução do caixa de inspenção com dimensões descritas, constituído por: alvenaria de tijolo comum com revestimento em argamassa: fundo de concreto e cinta de amarração superior para apoio do tampão em concreto; remunera também os serviços de escavação, escoramento da vala,  reaterro e disposição das sobras e impermeabilização interna através de pintura de proteção asfaltica em duas demãos.</t>
  </si>
  <si>
    <t>090300</t>
  </si>
  <si>
    <t>Fornecimento,transporte e instalação de tubulação em PVC esgoto diâmetros descritos:</t>
  </si>
  <si>
    <t>Será medido por comprimento de tubulação executada (m).
Os itens a seguir remunera o fornecimento e instalação de tubos de PVC rígido, diâmetro nominal de especificado com ponta e bolsa e anel de borracha; para esgoto domiciliar, inclusive conexões e materiais acessórios; abertura e fechamento de rasgos, para tubulações embutidas; ou escavação e reaterro apiloado de valas com profundidade média de 60 cm, para tubulações enterradas; ou fixação por grampos ou presilhas quando a tubulação for aparente.</t>
  </si>
  <si>
    <t>090301</t>
  </si>
  <si>
    <t>Diâmetro de 40 mm</t>
  </si>
  <si>
    <t>Esgoto bebedouro e Instalações sanitárias</t>
  </si>
  <si>
    <t>090304</t>
  </si>
  <si>
    <t>Diâmetro de 100 mm</t>
  </si>
  <si>
    <t>Esgoto e drenagem água pluvial</t>
  </si>
  <si>
    <t>090305</t>
  </si>
  <si>
    <t>Diâmetro de 150 mm</t>
  </si>
  <si>
    <t>Extravassor do reservatório subterrâneo</t>
  </si>
  <si>
    <t>090400</t>
  </si>
  <si>
    <t>Outros:</t>
  </si>
  <si>
    <t>090500</t>
  </si>
  <si>
    <t>Fornecimento e instalação de caixa sifonada:</t>
  </si>
  <si>
    <t>090501</t>
  </si>
  <si>
    <t>Em PVC, com grelha quadrada/redonda,150x150x75mm</t>
  </si>
  <si>
    <t>Será medido por unidade caixa instalada (un).
O item remunera o fornecimento e instalação da caixa sifonada, em PVC rígido, de 150 x 150 x 75 mm, inclusive grelha metálica e o material necessário para sua ligação à rede de esgoto.</t>
  </si>
  <si>
    <t>INSTALAÇÃO ELÉTRICA</t>
  </si>
  <si>
    <t>100100</t>
  </si>
  <si>
    <t>Fornecimento e instalação de globo tipo drops:</t>
  </si>
  <si>
    <t>100300</t>
  </si>
  <si>
    <t>Fornecimento, transporte e instalação luminária em de calha comercial completa</t>
  </si>
  <si>
    <t>Será medido por unidade de luminária instalada (un).
O item remunera o fornecimento de luminária de sobrepor com corpo em chapa de aço pintada com ou sem refletor, conforme especificações do item com soquetes para lâmpada fluorescente de 18/20/32/40 W, inclusive materiais acessórios e a mão-de-obra necessária para a instalação da luminária; inclusive o fornecimento de lâmpada e reator e teste de funcionamento.</t>
  </si>
  <si>
    <t>100302</t>
  </si>
  <si>
    <t>Luminária fluorescente completa com 2 lâmpadas de 20W ou 16W, tipo calha de sobrepor</t>
  </si>
  <si>
    <t xml:space="preserve">Instalação sanitária,depósito </t>
  </si>
  <si>
    <t>100400</t>
  </si>
  <si>
    <t>Fornecimento e instalação interruptor e tomadas, inclusive placa:</t>
  </si>
  <si>
    <t>100401</t>
  </si>
  <si>
    <t>Tomada universal 2 P+T</t>
  </si>
  <si>
    <t>Bebedoruos, palco,depósito, instalação sanitária</t>
  </si>
  <si>
    <t>Será medido por unidade de tomada instalada (un).
O item remunera o fornecimento e instalação de tomada com dois pólos e um terra de 10A para 250V; com placa, haste, contatos de prata e componentes de função elétrica em liga de cobre, conforme ABNT NBR 14136. Remunera também o fornecimento e instalação de placa espelho.</t>
  </si>
  <si>
    <t>100403</t>
  </si>
  <si>
    <t xml:space="preserve">01 tecla simples 10A - 250V </t>
  </si>
  <si>
    <t>Luminárias e conjunto motobomba</t>
  </si>
  <si>
    <t>Será medido por unidade de interruptor instalado (un).
O item remunera o fornecimento e instalação de interruptor, simples de embutir, com uma tecla fosforescente, com contatos de prata, a prova de faísca, de funcionamento silencioso; remunera também o espelho correspondente.</t>
  </si>
  <si>
    <t>100500</t>
  </si>
  <si>
    <t>Fornecimento e instalação de disjuntor automático:</t>
  </si>
  <si>
    <t>Será medido por unidade de disjuntor instalado (un).
O item remunera o fornecimento de disjuntor automático, linha residencial, com proteção termomagnética, padrão ( “bolt-on” ) NEMA, polos e correntes variáveis conforme o solicitado  e tensão de 127 / 220 V, conforme norma NBR 5361 e selo de conformidade do INMETRO, remunera também materiais acessórios e a mão-de-obra necessária para a instalação do disjuntor por meio de parafusos em suporte apropriado; não remunera o fornecimento do suporte.</t>
  </si>
  <si>
    <t>100501</t>
  </si>
  <si>
    <t>Monopolar de 10  a 32 A</t>
  </si>
  <si>
    <t>QDC</t>
  </si>
  <si>
    <t>100503</t>
  </si>
  <si>
    <t>Bipolar de 10 a 50 A</t>
  </si>
  <si>
    <t>100506</t>
  </si>
  <si>
    <t>Disjuntor de proteção diferencial residual (DR), bipolar, tipo DIN, corrente nominal de 25a, alta sensibilidade, corrente diferencial residual nominal com atuação de 30ma</t>
  </si>
  <si>
    <t>100600</t>
  </si>
  <si>
    <t>Fornecimento, transporte e instalação de cabos:</t>
  </si>
  <si>
    <t>Será medido por comprimento de cabo instalado (m).
O item remunera o fornecimento de cordoalha de cobre recozido, de diâmetro especificado confeccionada em malha de fios de cobre trançada, isenta de falhas, emendas, oxidações,  sujeiras, com revestimento em EPR para isolação de 90ºC e nível de isolamento até 1,0 kV e a mão-de-obra necessária para a instalação do cabo.</t>
  </si>
  <si>
    <t>100602</t>
  </si>
  <si>
    <r>
      <rPr>
        <b/>
        <sz val="12"/>
        <rFont val="Calibri"/>
        <charset val="134"/>
      </rPr>
      <t>Isolado de PVC seção 2,5 mm</t>
    </r>
    <r>
      <rPr>
        <b/>
        <vertAlign val="superscript"/>
        <sz val="12"/>
        <rFont val="Calibri"/>
        <charset val="134"/>
      </rPr>
      <t xml:space="preserve">2 </t>
    </r>
  </si>
  <si>
    <t>(5*2*2+22*2+5*3*2+10*3*3+25*3)</t>
  </si>
  <si>
    <t>Luminárias e tomadas</t>
  </si>
  <si>
    <t>100603</t>
  </si>
  <si>
    <r>
      <rPr>
        <b/>
        <sz val="12"/>
        <rFont val="Calibri"/>
        <charset val="134"/>
      </rPr>
      <t>Isolado de PVC seção 4,0 mm</t>
    </r>
    <r>
      <rPr>
        <b/>
        <vertAlign val="superscript"/>
        <sz val="12"/>
        <rFont val="Calibri"/>
        <charset val="134"/>
      </rPr>
      <t>2</t>
    </r>
  </si>
  <si>
    <t>(28*2*2+7*2+25*2+56*2)</t>
  </si>
  <si>
    <t xml:space="preserve">Refletores e alimentação eletrobomba </t>
  </si>
  <si>
    <t>100700</t>
  </si>
  <si>
    <t>Fornecimento, transporte e instalação de cabos Sintenax:</t>
  </si>
  <si>
    <t>Será medido por comprimento de cabo instalado (m).
O item remunera o fornecimento de cordoalha de cobre recozido, de diâmetro especificado confeccionada em malha de fios de cobre trançada, isenta de falhas, emendas, oxidações,  sujeiras, com revestimento SINTENAX e nível de isolamento a partir de 1,0 kV e a mão-de-obra necessária para a instalação do cabo.</t>
  </si>
  <si>
    <t>100701</t>
  </si>
  <si>
    <r>
      <rPr>
        <b/>
        <sz val="12"/>
        <rFont val="Calibri"/>
        <charset val="134"/>
      </rPr>
      <t>Isolado em PVC seção 10 mm</t>
    </r>
    <r>
      <rPr>
        <b/>
        <vertAlign val="superscript"/>
        <sz val="12"/>
        <rFont val="Calibri"/>
        <charset val="134"/>
      </rPr>
      <t>2</t>
    </r>
  </si>
  <si>
    <t>45*3</t>
  </si>
  <si>
    <t>Entrada de energia ao QDC</t>
  </si>
  <si>
    <t>100707</t>
  </si>
  <si>
    <t xml:space="preserve">Cobre nú # 10mm² para aterramento </t>
  </si>
  <si>
    <t>Aterramento QDC</t>
  </si>
  <si>
    <t>Será medido por comprimento de cabo instalado (m).
O item remunera o fornecimento de cordoalha de cobre recozido, de 10,0 mm², confeccionada em malha de fios de cobre eletrolítico nu, têmpera mole isenta de falhas, emendas, oxidações, sujeiras, encordoamento classe 2 na bitola especificada e a mão-de-obra necessária para a instalação do cabo.</t>
  </si>
  <si>
    <t>100900</t>
  </si>
  <si>
    <t>Fornecimento e colocação de eletroduto em PVC roscável,com conexões:</t>
  </si>
  <si>
    <t>Será medido pelo comprimento de tubulação instalada (m).
O item remunera o fornecimento e instalação de tubos, luvas, curvas e buchas em cloreto de polivinil (PVC) de diâmetro especificado, rígido, tipo pesado, com rosca, cor preta e braçadeiras em "U" para instalações de telefonia, embutidas em lajes, paredes ou pisos, aparentes, ou enterradas; remunera também o fornecimento de materiais acessórios e a mão-de-obra necessária para a execução dos serviços: abertura e fechamento de rasgos em paredes, ou escavação e reaterro apiloado de valas com profundidade média de 0,60 m nas instalações enterradas, ou fixação por meio de braçadeiras quando a tubulação for aparente e a instalação de arame galvanizado para servir de guia à enfiação, inclusive nas tubulações secas.</t>
  </si>
  <si>
    <t>100901</t>
  </si>
  <si>
    <t>Diâmetro 20mm (3/4")</t>
  </si>
  <si>
    <t>28*2+7+25+56</t>
  </si>
  <si>
    <t>Circuitos dos refletores e alimentação eletrobomba</t>
  </si>
  <si>
    <t>100904</t>
  </si>
  <si>
    <t>Diâmetro 40mm (1 1/2")</t>
  </si>
  <si>
    <t>101000</t>
  </si>
  <si>
    <t>Fornecimento e colocação de mangueira PVC flexível corrugado:</t>
  </si>
  <si>
    <t>Será medido pelo comprimento de eletroduto instalado (m).
O item remunera o fornecimento e instalação de eletroduto em PVC corrugado flexível, tipo leve, diâmetro conforme especificado, espessura da parede de 0,3 mm, cor amarela, para instalações elétricas e de telefonia, somente quando embutidas em paredes de alvenaria; remunera também o fornecimento de materiais acessórios e a mão-de-obra necessária para a execução dos serviços: abertura e fechamento de rasgos em paredes e a instalação de arame galvanizado para servir de guia à enfiação, inclusive nas tubulações secas.</t>
  </si>
  <si>
    <t>101002</t>
  </si>
  <si>
    <t>Diâmetro 25mm (3/4")</t>
  </si>
  <si>
    <t>Circuitos internos a quadra</t>
  </si>
  <si>
    <t>101202</t>
  </si>
  <si>
    <t>Caixa de passagem 4"x 2" sem placa</t>
  </si>
  <si>
    <t>Será medido por unidade de caixa instalada (un).
O item remunera o fornecimento e instalação de caixa estampada de 4" x 2", em chapa de aço nº 18, esmaltada à quente interna e externamente, com olhais para fixação dos eletrodutos e orelhas para fixação de espelho.</t>
  </si>
  <si>
    <t>101204</t>
  </si>
  <si>
    <t>Caixa octogonal p/ teto (laje maciça ou pré fabricada)</t>
  </si>
  <si>
    <t>Será medido por unidade de caixa instalada (un).
O item remunera o fornecimento e instalação de caixa estampada octogonal com fundo móvel de 4 "x 4", em chapa de aço nº 18, esmaltada à quente interna e externamente, com olhais para fixação dos eletrodutos e orelhas para fixação de espelho.</t>
  </si>
  <si>
    <t>101206</t>
  </si>
  <si>
    <t>Projetor externo para Lâmpada a vapor de mercúrio 250 W, com ângulo regulável, com alojamento para reator.</t>
  </si>
  <si>
    <t>Será medido por unidade de projetor instalado (un).
O item remunera o fornecimento e instalação completa de projetor retangular hermético, constituído por: corpo e aro em alumínio fundido, com aletas para dissipação de calor; refletor interno em chapa de alumínio estampado refletal liso, stucco ou escamado, acabamento anodizado; visor plano, em cristal temperado, à prova de choque térmico, fixado ao corpo por meio de aro e junta vedadora; suporte para fixação, tipo "U", em aço galvanizado a fogo movimentos horizontal e vertical; soquetes para lâmpadas: de vapor metálico de 400 W, ou vapor de sódio de alta pressão de 250 / 400 W, ou vapor de mercúrio de 250 / 500 W, ou mista de 250 / 500 W, conforme o fabricante; remunera também o fornecimento de lâmpada e reator.</t>
  </si>
  <si>
    <t>101400</t>
  </si>
  <si>
    <t>Quadro de distribuição PVC ou chapa de aço de embutir ou sobrepor</t>
  </si>
  <si>
    <t>Será medido por unidade de quadro instalado (un).
O item remunera o fornecimento do quadro em chapa de aço ou PVC completo, barramento, inclusive suporte para fixação de disjuntores padrão ( “bolt-on” ) NEMA, por meio de parafusos; ou trilho tipo DIN para a fixação de mini-disjuntores padrão DIN, por meio de trava ajustável; remunera também o fornecimento de materiais acessórios e a mão-de-obra necessária para a instalação completa do quadro; não remunera o fornecimento dos disjuntores.</t>
  </si>
  <si>
    <t>101404</t>
  </si>
  <si>
    <r>
      <rPr>
        <b/>
        <sz val="12"/>
        <rFont val="Calibri"/>
        <charset val="134"/>
      </rPr>
      <t>Quadro de distribuição de luz em</t>
    </r>
    <r>
      <rPr>
        <b/>
        <u/>
        <sz val="12"/>
        <rFont val="Calibri"/>
        <charset val="134"/>
      </rPr>
      <t xml:space="preserve"> </t>
    </r>
    <r>
      <rPr>
        <b/>
        <i/>
        <sz val="12"/>
        <rFont val="Calibri"/>
        <charset val="134"/>
      </rPr>
      <t>chapa de aço de sobrepor ou embutir, até 20 divisões modulares</t>
    </r>
  </si>
  <si>
    <t>120000</t>
  </si>
  <si>
    <t>ESQUADRIAS METÁLICAS</t>
  </si>
  <si>
    <t>120100</t>
  </si>
  <si>
    <t>120101</t>
  </si>
  <si>
    <t>Passa prato / Porta / portão de ferro, completo</t>
  </si>
  <si>
    <t>0,8*2,1+1*2,1*2</t>
  </si>
  <si>
    <t>Instalação sanitária e depósito</t>
  </si>
  <si>
    <t>Será medido por área de passa prato / porta / portão instalado (m²).
O item remunera o fornecimento da passa pratro, porta ou portão de abrir ou correr, sob medida, com uma ou duas folhas, constituído por: folha da porta em chapa de ferro nº 14 ( MSG ), numa face, com ou sem abertura; requadro para a estrutura da folha da porta, em perfil de chapa de ferro nº 14 MSG, tipo tubular; batentes em perfil de chapa dobrada em chapa de ferro nº 12 ( MSG ); jogo completo de ferragens, incluindo dobradiças, fechaduras, maçanetas, puxadores e trincos, compatíveis com as dimensões da porta; inclusive cimento, areia, materiais acessórios e a mão-de-obra necessária para a instalação e fixação da porta e do batente. Remunera também materiais acessórios e mão de obra para a execução de duas demãos de zarcão e duas demãos de esmalte.</t>
  </si>
  <si>
    <t>120103</t>
  </si>
  <si>
    <t>Janela de ferro completa, colocação e acabamento basculante</t>
  </si>
  <si>
    <t>,8*1*4</t>
  </si>
  <si>
    <t>Depósito e instalação sanitária</t>
  </si>
  <si>
    <t>Será medido por área de janela instalada (m²).
O item remunera o fornecimento de janelas basculantes, sob medida, com uma ou duas folhas, constituído por chapa dobrada nº 18, com tratamento em fundo anticorrosivo, para pintura em esmalte sintético com a folha em vidro liso ou fantasia de 4mm, batentes em perfil de chapa dobrada em chapa de ferro nº 14 ( MSG ); jogo completo de ferragens, incluindo dobradiças, fechaduras, maçanetas, puxadores e trincos, compatíveis com as dimensões da janela; inclusive cimento, areia, materiais acessórios e a mão-de-obra necessária para a instalação e fixação da janela e do batente. Remunera também materiais acessórios e mão de obra para a execução de duas demãos de zarcão e duas demãos de esmalte, e instalação dos  vidros cristal 4mm.</t>
  </si>
  <si>
    <t>FERRAGENS</t>
  </si>
  <si>
    <t>Fornecimento e colocação de:</t>
  </si>
  <si>
    <t>130200</t>
  </si>
  <si>
    <t>Outros: (fornecimento e execução):</t>
  </si>
  <si>
    <t>130201</t>
  </si>
  <si>
    <t>Barra apoio deficiente tubo em aço inox 1 1/4"  L=100cm para parede</t>
  </si>
  <si>
    <t>Será medido por unidade instalada (un).
O item remunera o fornecimento de barra de apoio tipo reta, para pessoas com mobilidade reduzida, em tubo de aço inoxidável AISI 304, liga 18,8, diâmetro nominal de 1 1/4", com espessura de 3/32", comprimento de 1000 mm; com resistência mínima ao esforço, em qualquer sentido, de 1,5 kN; flanges nas extremidades e parafusos para fixação, em aço inoxidável;  tubo e flanges com acabamento escovado, ou polido fosco; acessórios e a mão-de-obra necessária.</t>
  </si>
  <si>
    <t>130202</t>
  </si>
  <si>
    <t>Barra apoio deficiente tubo em aço inox 1 1/4" L=80cm para apoio de lavatório</t>
  </si>
  <si>
    <t>Será medido por unidade instalada (un).
O item remunera o fornecimento de barra de apoio em lavatórios, para pessoas com mobilidade reduzida, em tubo de aço inoxidável AISI 304, liga 18,8, diâmetro nominal de 1 1/4", com espessura de 3/32", comprimento de 800 mm; com resistência mínima ao esforço, em qualquer sentido, de 1,5 kN; flanges nas extremidades e parafusos para fixação, em aço inoxidável;  tubo e flanges com acabamento escovado, ou polido fosco; acessórios e a mão-de-obra necessária.</t>
  </si>
  <si>
    <t>130204</t>
  </si>
  <si>
    <t>Corrimão duplo em tubo de aço galvanizado d = 1 1/2"- fixado em alvenaria</t>
  </si>
  <si>
    <t>3,81+2,43+1,56*8+1,7</t>
  </si>
  <si>
    <t>Será medido pelo comprimento, aferido no desenvolvimento, de corrimão instalado (m).
O item remunera o fornecimento de Corrimão tubular duplo constituído por: tubo de aço galvanizado com diâmetro de 1 1/2", espessura de 2,25 mm; suporte em chapa de ferro galvanizado, com espessura de 1/8"; fixação por meio montate em tubo de ferro galvanizado,de 2” de diâmetro e espessura de 2,5mm, com parafusos auto-atarrachantes, e através de chumbador metálico com rosca e porca com diâmetro de 1/4 “de polegada em pisos de concreto revestidos ou não; sinalização tátil por meio de anel em aço inoxidável com textura contrastante à textura do corrimão, instalado 1,00 m antes das extremidades do corrimão, conforme determina NBR 9050; materiais acessórios e a mão-de-obra necessária para o chumbamento das grapas com roscas, ou soldagem do corrimão. O item remunera também o fornecimento de materiais e mão-de-obra necessários para: aplicação em uma demão de galvanização a frio, nos pontos de solda e / ou corte dos componentes metálicos, conforme recomendações do fabricante.</t>
  </si>
  <si>
    <t>130209</t>
  </si>
  <si>
    <t>Guarda-corpo em aço galvanizado  d = 2" e corrimão duplo de tubo de aço galvanizado de d=1 1/2" (usado em rampas)</t>
  </si>
  <si>
    <t>2,35+3,89+1,6*4</t>
  </si>
  <si>
    <t>Será medido pelo comprimento de corrimão com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ambietes externos de 1,30m..
Base fixada no piso através de parafusos ou chumbadores, um corrimão duplo ( 22cm de distância entre eles) em tubo de aço galvanizado com diâmetro de 1 1/2” ,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inclusive acessórios e a mão-de-obra necessária para a instalação completa do guarda-corpo com corrimão duplo. O item remunera também o fornecimento de materiais e mão-de-obra necessários para: aplicação em uma demão de galvanização a frio, nos pontos de solda e / ou corte dos componentes metálicos, conforme recomendações do fabricante.</t>
  </si>
  <si>
    <t>REVESTIMENTO</t>
  </si>
  <si>
    <t>Emboço com argamassa 1:6 cimento e areia lavada média peneirada, para paredes revestidas com tinta, e = 20mm</t>
  </si>
  <si>
    <t>(1,82*3*2+2,11*3*2)*2</t>
  </si>
  <si>
    <t>Será medido pela área revestida com reboco, não se descontando vãos de até 2,00 m² e não se considerando espaletas. Os vãos acima de 2,00 m² deverão ser deduzidos na totalidade e as espaletas desenvolvidas (m²).
O item remunera o fornecimento de cimento, areia e a mão-de-obra necessária para a execução do emboço.</t>
  </si>
  <si>
    <t>140102</t>
  </si>
  <si>
    <t>Reboco com argamassa 1:2:8 cimento, cal e areia</t>
  </si>
  <si>
    <t>(28-4,7-1,6)*1,5*4+18*3+18*1,5*2+21,62*4*0,5+(3,75+1,66)*0,5*2+2,58*3+2,58*2,5*2+4,5*4*3+3,74*2,35*2+1,24*2,5+8,24*0,52+4,7*2*3+4,78*3*3+1,82*4+4,78*1,82+3,74*2,58-1,6*1,5+4,78*1+2,02*1-(1,82*3*2+2,11*3*2)*2</t>
  </si>
  <si>
    <t>Será medido pela área revestida com reboco, não se descontando vãos de até 2,00 m² e não se considerando espaletas. Os vãos acima de 2,00 m² deverão ser deduzidos na totalidade e as espaletas desenvolvidas (m²).
O item remunera o fornecimento de cimento, cal hidratada, areia e a mão-de-obra necessária para a execução do reboco.</t>
  </si>
  <si>
    <t>140104</t>
  </si>
  <si>
    <t>Chapisco com argamassa 1:3 cimento e areia, a colher</t>
  </si>
  <si>
    <t>(28-4,7-1,6)*1,5*4+18*3+18*1,5*2+21,62*4*0,5+(3,75+1,66)*0,5*2+2,58*3+2,58*2,5*2+4,5*4*3+3,74*2,35*2+1,24*2,5+8,24*0,52+4,7*2*3+4,78*3*3+1,82*4+4,78*1,82+3,74*2,58-1,6*1,5+4,78*1+2,02*1</t>
  </si>
  <si>
    <t>Será medido pela área revestida com chapisco, não se descontando vãos de até 2,00 m² e não se considerando espaletas. Os vãos acima de 2,00 m² deverão ser deduzidos na totalidade e as espaletas desenvolvidas (m²).
O item remunera o fornecimento de cimento, areia e a mão-de-obra necessária para a execução do chapisco.</t>
  </si>
  <si>
    <t>140107</t>
  </si>
  <si>
    <t>Azulejo extra assentado internamente com argamassa pré-fabridada de cimento colante, inclusive c/ rejuntamento interno ou externo</t>
  </si>
  <si>
    <t>Será medido pela área de revestimento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revestimentos internos, com as características:
A) Dimensões: 15 x 15 cm, 20 x 20 cm ou 25 x 25 cm;
B) Alta absorção de água: &gt; 10%, grupo BIII ( poroso );
C) Resistência química: classe B ( média resistência química a produtos domésticos e de piscinas );
D) Resistência ao manchamento: classe de limpabilidade 5;
E) Carga de ruptura &gt; 200 N;
F) Resistente ao choque térmico;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8214, NBR 13754, NBR 13816, NBR 13817, NBR 13818 e NBR 14081, e recomendações dos fabricantes. Remunera também os serviços de regularização da superfície e de rejuntamento.</t>
  </si>
  <si>
    <t>PISOS E RODAPÉS</t>
  </si>
  <si>
    <t>Fornecimento e assentamento de pisos, em:</t>
  </si>
  <si>
    <t>150104</t>
  </si>
  <si>
    <t>Revestimento com cerâmica aplicado em piso, acabamento esmaltado, ambiente interno, padrão extra, cor branca, dimensão da peça até 2.025cm², PEI V, assentamento com argamassa industrializada, inclusive rejuntamento</t>
  </si>
  <si>
    <t>2,11*1,82*2</t>
  </si>
  <si>
    <t>Será medido pela área de piso revestida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pisos internos sujeitos a lavagem freqüente, com as características:
A) Dimensões: Até 2.025 cm²
B) Média absorção de água: 3%&lt; Abs &lt; 6%, grupo BIIa ( semigrés ) ;
C) Resistência química: classe A ( alta resistência química a produtos domésticos e de piscinas );
D) Resistência ao manchamento: classe de limpabilidade 5;
E) Carga de ruptura &gt; 1.000 N;
F) Resistência à abrasão superficial classe V (PEI-5);
G) Resistência ao risco (escala Mohs): &gt; 5;
H) Resistente a gretagem;
I) Resistente ao choque térmico;
J) Coeficiente de atrito: &gt; 0,40 ( classe 2 );
Remunera também o fornecimento de argamassa colante industrializada tipo AC-II,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</si>
  <si>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150115</t>
  </si>
  <si>
    <t>Placa cimentícia 40 x 40 cm, e = 3,5 cm, de alta resistência, podotátil direcional ou alerta, assentada com argamassa de cimento e areia</t>
  </si>
  <si>
    <t>31*2*0,4+21*2*0,4+1,5*8*0,4+1,24*0,4+2,5*0,4+0,6*0,4*2+1,36*0,4</t>
  </si>
  <si>
    <t>Passeio lateral, palco e bebedouros</t>
  </si>
  <si>
    <t>Será medido pela área revestida com ladrilho, descontando-se toda e qualquer interferência, acrescentando-se as áreas desenvolvidas por espaletas ou dobras (m²).
O item remunera o fornecimento de ladrilho hidráulico podo tátil, para portadores de deficiência visual, de 40 x 40 cm, com espessura média de 3,5 cm, em várias cores, cimento, cal hidratada, areia, materiais acessórios, e a mão-de-obra necessária para os serviços: preparo e aplicação da argamassa mista de assentamento; assentamento de ladrilho hidráulico, conforme paginação prevista em projeto, sobre superfície regularizada, conforme exigências das normas NBR 9457 e NBR 9050 e recomendações dos fabricantes. Não remunera os serviços de regularização da superfície.</t>
  </si>
  <si>
    <t>150300</t>
  </si>
  <si>
    <t>Contra- piso e regularização:</t>
  </si>
  <si>
    <t>150301</t>
  </si>
  <si>
    <t>1,82*2,11*2+0,64*0,36*2</t>
  </si>
  <si>
    <t>Instalaçao sanitária e sóculo</t>
  </si>
  <si>
    <t>Será medido pela área onde será executado, na espessura mínima de 6cm (m²).
O item remunera o fornecimento de cimento, areia, pedra britada nº 1, 2 e a mão-de-obra necessária para o apiloamento do terreno e execução do lastro.</t>
  </si>
  <si>
    <t>150405</t>
  </si>
  <si>
    <t>Passeio de concreto e= 8 cm, fck 15 Mpa, c/ preparo p/ terreno, incluindo preparo de caixa, sem revestimento com argamassa de cimento e areia</t>
  </si>
  <si>
    <t>31*2*1,5+18*1,5*2+1,2*15,8+9*1,78+(28-1,82)*2,3-15,8*1,1+2,04*16+(2,35+1,36+1,36+3,89)*1,36</t>
  </si>
  <si>
    <t>Perímetro externo e área interna de circulação da quadra</t>
  </si>
  <si>
    <t>Será medido pela área de piso concretado (m²).
O item remunera o fornecimento de cimento; areia; pedra britada nº 1; ripa de Cupiúba  ou Paraju; remunera também o fornecimento de materiais acessórios e a mão de obra necessária para o preparo do concreto, preparo da caixa, lançamento e a execução do passeio com acabamento desempenado, em concreto preparado no local.</t>
  </si>
  <si>
    <t>PINTURA</t>
  </si>
  <si>
    <t>Pintura:</t>
  </si>
  <si>
    <t>Tinta acrílica em parede externa, sem emassamento (duas demãos)</t>
  </si>
  <si>
    <t>1,82*2,11*2+3,74*2,58</t>
  </si>
  <si>
    <t>Laje de cobertura</t>
  </si>
  <si>
    <t>Será medido pela área de superfície preparada e pintada, não se descontando vãos de até 2,00 m² e não se considerando espaletas, filetes ou molduras. Os vãos acima de 2,00 m² deverão ser deduzidos na totalidade e as espaletas, filetes ou molduras desenvolvidas (m²).
O item remunera o fornecimento de selador de tinta para pintura acrílica; tinta à base de emulsão 100% acrílica, solúvel em água, acabamento fosco acetinado, materiais acessórios e a mão-de-obra necessária para a execução dos serviços de: limpeza da superfície, lixamento, remoção do pó e aplicação do selador, conforme recomendações do fabricante; aplicação da tinta acrílica, em duas demãos conforme especificações do fabricante, sobre superfície revestida com massa ou não.</t>
  </si>
  <si>
    <t>Pintura texturizada com desempenadeira de aço, lixamento do emboço e fundo selador</t>
  </si>
  <si>
    <t>(28-4,7-1,6)*1,5*4+18*3+18*1,5*2+21,62*4*0,5+(3,75+1,66)*0,5*2+2,58*3+2,58*2,5*2+4,5*4*3+3,74*2,35*2+1,24*2,5+8,24*0,52+4,7*2*3+4,78*3*3+1,82*4+4,78*1,82+3,74*2,58-1,6*1,5+4,78*1+2,02*1-(1,82*3*2+2,11*3*2)*2-(1,82*2,11*2+3,74*2,58)</t>
  </si>
  <si>
    <t>Será medido pela área de superfície preparada e pintada, deduzindo-se toda e qualquer interferência (m²).
O item remunera o fornecimento de selador de tinta para pintura com textura acrílica; revestimento texturizado 100% acrílico, sem agregados minerais, para uso interno ou externo, materiais acessórios; e a mão-de-obra necessária para os serviços de: limpeza, lixamento e remoção do pó; aplicação do revestimento texturizado acrílico, em uma demão, sem diluição do produto, conforme recomendações do fabricante.</t>
  </si>
  <si>
    <t>BANCADAS, PRATELEIRAS E DIVISÓRIAS</t>
  </si>
  <si>
    <t>Execução  de:</t>
  </si>
  <si>
    <t>180110</t>
  </si>
  <si>
    <t>Soleira ou peitoril de granito cinza andorinha e=2cm</t>
  </si>
  <si>
    <t>1*,2*2</t>
  </si>
  <si>
    <t xml:space="preserve">Será medido pela área da peça em granito a ser instalada (m²).
O item remunera o fornecimento de granito cinza andorinha com acabamento polido ou jateado na espessura de 2,0 cm; areia, cimento, cimento branco ou rejunte, materiais acessórios e a mão-de-obra necessária para o assentamento e rejuntamento do granito em soleiras e / ou peitoris, com largura até 20 cm; não remunera o preparo prévio da superfície. </t>
  </si>
  <si>
    <t>QUADRA</t>
  </si>
  <si>
    <t xml:space="preserve">Pintura com tinta a base epox em piso de quadra esportiva concreto 2 demãos </t>
  </si>
  <si>
    <t>(18,6+3,02)*(11,2+1,2+1,2)</t>
  </si>
  <si>
    <t>Áre de jogos da quadra</t>
  </si>
  <si>
    <t>Será medido pela área de superfície pintada, deduzindo-se toda e qualquer interferência (m²).
O item remunera o fornecimento de tinta à base epox, com alta resistência à abrasão, acabamento microtexturizado, lavável, resistente a água, alcalinidade, maresia e intempéries, materiais acessórios e a mão-de-obra necessária para a execução dos serviços de: limpeza da superfície, conforme recomendações do fabricante; aplicação da tinta epox, conforme especificações do fabricante; não remunera o preparo de base, quando necessário.</t>
  </si>
  <si>
    <t>Demarcação de quadra (tinta acrílica em piso para faixas de demarcação, com faixas de 5 cm e 8 cm de largura, aplicada com trincha)</t>
  </si>
  <si>
    <t>Será medido por comprimento de faixa de sinalização pintada (m).
O item remunera o fornecimento de tinta acrílica fosca de grande desempenho para pisos, várias cores, conforme especificações do fabricante, que confere um acabamento microtexturizado e antiderrapante com refletorização, materiais acessórios e a mão-de-obra necessária para o preparo de pavimento de concreto e a aplicação da tinta em faixas com até 8 cm de largura.</t>
  </si>
  <si>
    <t>Alambrados e portão</t>
  </si>
  <si>
    <t>O item remunera a execução de alambrado tubular em quadro para fechamento em geral, com altura determinada aferida na projeção vertical, não sendo considerada a altura do chumbamento em mureta, em (m)
 Constituído por:
A) Fornecimento e instalação de montantes verticais, em tubos de aço carbono SAE 1008 / 1010, galvanizados de acordo com norma ASTM A 513, com diâmetro externo de 2" e espessura de 2,25 mm, chumbados diretamente sobre mureta na profundidade média de 0,50 m e com espaçamento máximo de 2,40 m entre colunas;
B) Fornecimento e instalação de travamentos horizontais soldados aos montantes verticais, nas partes superior e inferior do alambrado, em tubos de aço carbono SAE 1008 / 1010, galvanizados de acordo com norma ASTM A 513, com diâmetro externo de 2" e espessura de 2,65 mm;
C) Fornecimento e instalação de tela, com malha ciclônica tipo "Q" conforme NBR / ABNT 10119 de 2" (50 x 50 mm) fio BWG 10 (3,40 mm), fabricada em fio de aço doce de acordo om a NBR / ABNT 5589 , com acabamento lateral de pontas dobradas, fixada por meio de cabos tensores e arames de amarração e de arame em fio de aço doce recozido e zincado bitola BWG 14 (2,11 mm) utilizado para amarração da tela aos montantes verticais e travamentos.
D) Remunera também o fornecimento de materiais e mão-de-obra necessária para: aplicação em uma demão de galvanização a frio, nos pontos de solda e / ou corte dos elementos que compõem o alambrado.
E) Não remunera os serviços de execução de base para fixação dos montantes.</t>
  </si>
  <si>
    <t>200201</t>
  </si>
  <si>
    <t>Alambrado para quadra esportiva com tela de arame galvanizado, fixada em quadros de tubos de aço galvanizado, h=1m</t>
  </si>
  <si>
    <t>Fechamento fundo do palco</t>
  </si>
  <si>
    <t>200202</t>
  </si>
  <si>
    <r>
      <rPr>
        <b/>
        <sz val="12"/>
        <rFont val="Calibri"/>
        <charset val="134"/>
      </rPr>
      <t>Alambrado para quadra esportiva com tela de arame galvanizado</t>
    </r>
    <r>
      <rPr>
        <b/>
        <i/>
        <u/>
        <sz val="12"/>
        <rFont val="Calibri"/>
        <charset val="134"/>
      </rPr>
      <t xml:space="preserve"> </t>
    </r>
    <r>
      <rPr>
        <b/>
        <sz val="12"/>
        <rFont val="Calibri"/>
        <charset val="134"/>
      </rPr>
      <t>, fixada em quadros de tubos de aço galvanizado, h=2m</t>
    </r>
  </si>
  <si>
    <t>(28-4,7)*2+18+21,62*2-3,9-4,5+3,75+1,66</t>
  </si>
  <si>
    <t>Conforme projeto fechamento lateral e área de jogos</t>
  </si>
  <si>
    <t>200204</t>
  </si>
  <si>
    <t>Portão em tubo galvanizado de 1 1/2" com tela 2" fio 12 # 1/2" inclusive cadeado</t>
  </si>
  <si>
    <t>1,5*3,5*3+3*1,3*2,5+4,05*2,5*2</t>
  </si>
  <si>
    <t>Será medido por área de portão instalado (m²).
O item remunera o fornecimento e instalação de portão pivotante de uma ou duas folhas com altura até 2,50 m, constituído por: perfil tubular de aço carbono SAE 1008 / 1010 galvanizado
norma ASTM A 513, com diâmetro externo de 1 1/2" e espessura de 2,25 mm; requadro interno em barra chata de aço carbono SAE 1008 / 1012, de 3/4" x 3/16"; tela de 2" fio 12 #  1/2" , com acabamento de pontas dobradas; batentes; colunas; trinco e ferrolho com porta-cadeado. O item remunera também o fornecimento de materiais e mão-de-obra necessários para: aplicação em uma demão de galvanização a frio, nos pontos de solda e / ou corte dos elementos que compõem o portão, aplicação de zarcão e esmalte em duas demãos cada.</t>
  </si>
  <si>
    <t>200300</t>
  </si>
  <si>
    <t>Outros</t>
  </si>
  <si>
    <t>200301</t>
  </si>
  <si>
    <t xml:space="preserve">Equipamentos esportivos (volley, futsal, basquete) todos juntos </t>
  </si>
  <si>
    <t>CJ</t>
  </si>
  <si>
    <t>Será medido por conjunto de equipamentos  (cj).
O item remunera o fornecimento de equipamentos esportivos composto de:
A) Trave completa com rede, todos os materiais, equipamentos e mão-de-obra necessária para a execução dos serviços: execução de esperas para a fixação da trave, em tubo de PVC, com tampas removíveis em ferro galvanizado inclusive tubo dreno; fornecimento e instalação de trave removível, nas dimensões oficiais de 3 x 2 x 1 m, em tubo de aço galvanizado, providos de ganchos especiais para a fixação da rede, com acabamento em esmalte, fornecimento e instalação de rede para a trave em náilon, com malha de 10 x 10 cm, fio com espessura de 2 mm.
B) Tabela completa, com suporte para basquete com a sua respectiva rede, todos os materiais, equipamentos e mão-de-obra necessária para a execução de esperas para fixação do tubo de sustentação da tabela em tubo de PVC, com tampas removíveis em ferro galvanizado inclusive tubo dreno, fornecimento e instalação de tabela removível para basquete nas dimensões de 180 cm de comprimento por 120 cm de altura, e ter seu centro geométrico a 328 cm do piso acabado. A tabela é fixada ao poste de sustentação, o qual é encaixado nas esperas de PVC no piso, o suporte e tabela em aro duplo em aço, com diâmetro de 9,5 mm , com pintura a óleo sobre fundo antioxidante; cesto em malha de náilon, fio 2; pintura do fundo e das faixas da tabela à base de estireno butadieno.
C) Par de postes oficial completo com rede para voleibol, todos os materiais, equipamentos e mão-de-obra necessária para a execução dos serviços de esperas para a fixação dos postes, em tubo de PVC, com tampas removíveis em ferro galvanizado, inclusive tubo dreno; fornecimento e instalação de par de postes removíveis para voleibol, em tubo de aço galvanizado, diâmetro de 3", providos de ganchos especiais para a fixação da rede, roldana e carretilha, com acabamento em esmalte, fornecimento e instalação de rede para voleibol de  náilon, com malha de 10 x 10 cm, fio com espessura de 2 mm, com acabamento nos quatro lados em lona.</t>
  </si>
  <si>
    <t>200302</t>
  </si>
  <si>
    <t>Colchão de brita (lastro de brita 3 e 4 apiloado manualmente com maço de 30kg)</t>
  </si>
  <si>
    <t>(18,6+3,02)*(11,2+1,2+1,2)*0,05</t>
  </si>
  <si>
    <t xml:space="preserve">Área de jogos </t>
  </si>
  <si>
    <t>Será medido pelo volume acabado, na espessura mínima de 5 cm (m³):
O item remunera o fornecimento de pedra britada em números médios e a mão-de-obra necessária para o apiloamento do terreno e execução do lastro. Remunera também  o fornecimento de lona plástica preta e a mão-de-obra necessária para a aplicação da lona na área do piso coberto pelo colchão de brita.</t>
  </si>
  <si>
    <t>200304</t>
  </si>
  <si>
    <t>Armadura de tela de aço CA 60B (tela de aço CA 60 soldada com trama de 100x100mm D=4,20mm do fio e arrame recozido) OBS: 2,20KG/M2</t>
  </si>
  <si>
    <t>(18,6+3,02)*(11,2+1,2+1,2)*2,2</t>
  </si>
  <si>
    <t>Laje de piso da quadra</t>
  </si>
  <si>
    <t>Será medido pelo peso nominal das telas constantes no projeto de armadura (kg).
O item remunera o fornecimento de tela soldada em aço CA-60B com trama 100 x 100mm tipo Q138, transporte e colocação; estão incluídos no item os serviços e materiais secundários como arame, espaçadores, emendas e perdas por desbitolamento, cortes e pontas de traspasse para emendas.</t>
  </si>
  <si>
    <t>200305</t>
  </si>
  <si>
    <t>Concreto fck=25Mpa, e=8cm lançado em piso de quadra, executado em etapa única, para polimento mecânico, inclusive com juntas ou cortes em placas não maiores que 4,0 m2 e polimento mecânico superficial</t>
  </si>
  <si>
    <t>(18,6+3,02)*(11,2+1,2+1,2)*0,08</t>
  </si>
  <si>
    <t>Laje de piso da quada</t>
  </si>
  <si>
    <t>Será medido pelo volume calculado no projeto de formas, sendo que o volume da interseção dos diversos elementos estruturais deve ser computado uma só vez (m³).
O item remunera o fornecimento e lançamento de concreto usinado com resistência mínima à compressão de 25 Mpa, o adensamento através de vibradores de imersão e réguas vibradoras e o desempeno utilizando desempenadeiras mecânicas, o requadro em forma de juntas serradas e de construção, remunera também a aspersão contínua de água nas horas subseqüentes à concretagem e durante os 14 dias seguintes e o corte das juntas de dilatação que será executado com serra mecânica provida de disco diamantado com a profundidade do corte de no máximo 3 cm e o fornecimento e instalação de formas e barras de tranferência.</t>
  </si>
  <si>
    <t>200308</t>
  </si>
  <si>
    <t>Tela de nylon (malha 10 X 10 cm)</t>
  </si>
  <si>
    <t>18*28+4,78*2,22</t>
  </si>
  <si>
    <t>Proteção reservatório superior e sob toda a área de projeção de cobertura para proteger refletores e telhas</t>
  </si>
  <si>
    <t>Será medido pela área instalada (m²).
O item remunera o fornecimento e instalação de tela de náilon, com malha de 10 x 10 cm, fio com espessura de 2 mm na cor verde. remunera também acessórios para instalação.</t>
  </si>
  <si>
    <t>200403</t>
  </si>
  <si>
    <t xml:space="preserve">Estrutura de aço para cobertura em arco, espaçamento entre arcos de 6,0 m, vão de 30,0 m, em aço  A 36, inclusive montagem </t>
  </si>
  <si>
    <t>18*28</t>
  </si>
  <si>
    <t>Será medido pela projeção horizontal da cobertura em arco com 5m entre arcos e vão de 20 m (m²).
O item remunera o fornecimento de estrutura metálica em aço ASTM-A36 de todos elementos necessários para estrutura da cobertura como pilares, vigas de apoio, terças etc., incluindo chapas de ligação, soldas, parafusos galvanizados, chumbadores, perdas e acessórios, beneficiamento e pré-montagem de partes da estrutura em fábrica ou canteiro, transporte e descarregamento, traslado interno à obra, montagem e instalação completa se todos elementos necessários ,  remunera também o preparo da superfície das peças por meio da utilização de Zarcão e a execução de serviços como a limpeza da superfície,  lixamento final, remoção do pó e a aplicação em duas demãos de esmalte.</t>
  </si>
  <si>
    <t>200404</t>
  </si>
  <si>
    <t>Cobertura em telhas de aço galvanizado, perfil ondulado, esp.  0,5 mm</t>
  </si>
  <si>
    <t>18*28*1,034+28*2*2+18*3,1*2</t>
  </si>
  <si>
    <t>área de projeção da quadra mais empenas mais saias</t>
  </si>
  <si>
    <t>Será medido pela área, de projeção horizontal, da cobertura executada (m²).
O item remunera o fornecimento e instalação das telhas em chapa de aço galvanizado, perfil ondulado, com no mínimo 0,5mm de espessura, em qualquer comprimento, materiais acessórios para a fixação das telhas, em estrutura, de apoio, metálica, ou de madeira, costura, fechamento e vedação entre as telhas e a mão-de-obra necessária para o transporte interno à obra, içamento e a montagem completa das telhas, em coberturas com curvatura.</t>
  </si>
  <si>
    <t>230000</t>
  </si>
  <si>
    <t>LIMPEZA</t>
  </si>
  <si>
    <t>230100</t>
  </si>
  <si>
    <t>Limpeza:</t>
  </si>
  <si>
    <t>230101</t>
  </si>
  <si>
    <t>Limpeza Geral da edificação</t>
  </si>
  <si>
    <t>Será medido pela área, na projeção horizontal, de obra limpa (m²).
O item remunera o fornecimento do material e a mão-de-obra necessários para a limpeza geral de pisos, paredes, vidros, áreas externas, bancadas, louças, metais, etc., removendo-se  materiais  excedentes e resíduos de sujeiras, deixando a obra pronta para a utilização.</t>
  </si>
  <si>
    <t>230201</t>
  </si>
  <si>
    <t>Transporte e carga manual de material a granel (ou demolição) até a caçamba em até 100m</t>
  </si>
  <si>
    <t>240000</t>
  </si>
  <si>
    <t>LEVANTAMENTOS, E PROJETOS</t>
  </si>
  <si>
    <t>240100</t>
  </si>
  <si>
    <t>Levantamento planialtimétrico e cadastral, urbano, suburbano e rural</t>
  </si>
  <si>
    <t>Será medido por área de levantamento planialtimétrico e cadastral executado (un).
O item remunera o fornecimento da mão-de-obra qualificada necessária para a execução de levantamento planialtimétrico e cadastral em áreas urbanas e suburbanas até 2.000m², destinado à regularização, projetos viários e de infra-estrutura e urbanização, compreendendo: o detalhamento de divisas de gleba principal, sistema viário, quadras, áreas livres e institucionais, lotes, edificações, postes de rede pública de eletrificação, tampões com as respectivas identificações, guias, sarjetas, muro de arrimo, taludes e a elaboração das peças gráficas pertinentes. De acordo com a norma NBR 13.133/94 e lei federal 10.267/01, também remunera o fornecimento de projeto planialtimétrico, contendo todas as informações e detalhes levantados de acordo com o padrão da Secretaria Estadual de Educação (SEE MG), inclusive respectivo memorial descritivo. O projeto deverá ser constituído por: peças gráficas no formato A1 e devem seguir as seguintes premissas:
Os produtos gráficos deverão ser desenvolvidos por meio do software "AUTOCAD" versão 2000 ou posterior e apresentados da seguinte forma:
- Apresentações parciais na forma de projeto básico, em papel sulfite, para ajustes e liberação pela Diretoria de Rede Física das Regionais, para a execução do projeto executivo;
- A entrega do projeto final, devidamente aprovado pela Diretoria de Rede Física das Regionais, deverá ser constituída por: duas cópias plotadas em papel sulfite; uma cópia do arquivo eletrônico com extensão "dwg" em "compact disc" (CD Rom).
-  A entrega do memorial descritivo em formato "doc" ou "docx" no mesmo DR Rom dos arquivos de projeto.</t>
  </si>
  <si>
    <t>240101</t>
  </si>
  <si>
    <t>Levantamento planialtimétrico e cadastral, urbano, suburbano e rural em terreno até 2.000 m²</t>
  </si>
  <si>
    <t>240200</t>
  </si>
  <si>
    <t>Projetos</t>
  </si>
  <si>
    <t>Será medido por unidade de desenho fornecido e aprovado pela fiscalização ou terceiros conforme o caso (un).
O item remunera o fornecimento de projeto, contendo todas as informações e detalhes construtivos, para a execução completa da obra de acordo com o padrão da Secretaria Estadual de Educação (SEE MG), inclusive a concessão dos direitos autorais referentes ao projeto para a Caixa Escolar. O projeto deverá ser constituído por: peças gráficas no formato A1; relatórios contendo as premissas de projeto; especificações técnicas; memoriais descritivos, listas de quantidade e memórias de cálculo pertinentes. Apresentados conforme relação abaixo:
A) Os produtos gráficos deverão ser desenvolvidos por meio do software "AUTOCAD" versão 2000 ou posterior e apresentados da seguinte forma:
- Apresentações parciais na forma de projeto básico, em papel sulfite, para ajustes e liberação pela Diretoria de Rede Física das Regionais, para a execução do projeto executivo;
- A entrega do projeto executivo de arquitetura, devidamente aprovado pela Diretoria de Rede Física das Regionais, deverá ser constituída por: duas cópias plotadas em papel sulfite; uma cópia do arquivo eletrônico com extensão "dwg" em "compact disc" (CD Rom).
B) Os relatórios, as especificações técnicas, os memoriais descritivos, lista de quantidades e as memórias de cálculo pertinentes contendo as premissas de projeto deverão ser desenvolvidas por meio dos softwares "WINWORD", ou "EXCEL" e apresentados da seguinte forma:
- Duas cópias completas no formato A4, em papel sulfite, encadernadas;
- Os arquivos eletrônicos com extensão "doc" ou "xls",em "compact disc" (CD Rom ).</t>
  </si>
  <si>
    <t>240201</t>
  </si>
  <si>
    <t>Projeto executivo de arquitetura em formato A1</t>
  </si>
  <si>
    <t>240202</t>
  </si>
  <si>
    <t>Projeto executivo de instalações hidrosanitárias em formato A1</t>
  </si>
  <si>
    <t>240203</t>
  </si>
  <si>
    <t>Projeto executivo de instalações elétricas em formato A1</t>
  </si>
  <si>
    <t>240206</t>
  </si>
  <si>
    <t>Projeto executivo e estrutural de estrutura de concreto</t>
  </si>
  <si>
    <t>240207</t>
  </si>
  <si>
    <t>Projeto executivo e estrutural de estrutura metálica</t>
  </si>
  <si>
    <t>240209</t>
  </si>
  <si>
    <t xml:space="preserve">Projeto executivo de drenagem pluvial </t>
  </si>
  <si>
    <t>260000</t>
  </si>
  <si>
    <t>OUTROS</t>
  </si>
  <si>
    <t>SETOP 
ED-50734</t>
  </si>
  <si>
    <t>Friso de alumínio anodizado natural 3/8”(uso interno)</t>
  </si>
  <si>
    <t>4,26+0,36+2,18</t>
  </si>
  <si>
    <t>Alvenaria de fechamento superior na laje de cobertura das instalações sanitárias</t>
  </si>
  <si>
    <t>TOTAL CUSTO =</t>
  </si>
  <si>
    <t xml:space="preserve">QUANDO DA CELEBRAÇÃO DO CONTRATO ASSEGURAR QUE A EMPRESA TENHA EM SEU PODER CÓPIA DO CADERNO DE ESPECIFICAÇÕES                  </t>
  </si>
  <si>
    <t>BASE                                                                                           SETOP, SIDECAP, PINI, ORSE,SINAPI  JUN/22</t>
  </si>
  <si>
    <t>REV00  SET/22</t>
  </si>
  <si>
    <t xml:space="preserve">Nome do técnico responsável pela elaboração da planilha:                                      </t>
  </si>
  <si>
    <t>CREA/CAU/CFT:</t>
  </si>
  <si>
    <t>Data da elaboração:</t>
  </si>
  <si>
    <t xml:space="preserve">Nome do representante legal:                                      </t>
  </si>
  <si>
    <t>CRONOGRAMA FÍSICO-FINANCEIRO</t>
  </si>
  <si>
    <t xml:space="preserve">ESCOLA : Escola Municipal Monteiro Lobato                                                                                                                                      </t>
  </si>
  <si>
    <t xml:space="preserve">MUNICÍPIO: João Monlevade                                                                                                                                                         </t>
  </si>
  <si>
    <t>ENDEREÇO: Rua Nova York, 1397, Bairro Novo Cruzeiro</t>
  </si>
  <si>
    <t>SERVIÇOS: Construção de quadra poliesportiva.</t>
  </si>
  <si>
    <t>VALOR COM BDI</t>
  </si>
  <si>
    <t>% INC.</t>
  </si>
  <si>
    <t>30 DIAS</t>
  </si>
  <si>
    <t>60 DIAS</t>
  </si>
  <si>
    <t>90 DIAS</t>
  </si>
  <si>
    <t>120 DIAS</t>
  </si>
  <si>
    <t>150 DIAS</t>
  </si>
  <si>
    <t>180 DIAS</t>
  </si>
  <si>
    <t>210 DIAS</t>
  </si>
  <si>
    <t>240 DIAS</t>
  </si>
  <si>
    <t>270 DIAS</t>
  </si>
  <si>
    <t>300 DIAS</t>
  </si>
  <si>
    <t>330 DIAS</t>
  </si>
  <si>
    <t>%</t>
  </si>
  <si>
    <t>VALOR</t>
  </si>
  <si>
    <t>TOTAL MENSAL</t>
  </si>
  <si>
    <t>TOTAL ACUMULADO</t>
  </si>
  <si>
    <t>LOCAL / DATA:</t>
  </si>
  <si>
    <t xml:space="preserve">Nome do técnico responsável pela elaboração da planilha:   </t>
  </si>
  <si>
    <t>MACROETAPA</t>
  </si>
  <si>
    <t>DURAÇÃO
EM DIAS</t>
  </si>
  <si>
    <t>DESEMBOLSO
DA ATIVIDADE</t>
  </si>
</sst>
</file>

<file path=xl/styles.xml><?xml version="1.0" encoding="utf-8"?>
<styleSheet xmlns="http://schemas.openxmlformats.org/spreadsheetml/2006/main" xmlns:xr9="http://schemas.microsoft.com/office/spreadsheetml/2016/revision9">
  <numFmts count="6">
    <numFmt numFmtId="176" formatCode="_(* #,##0.00_);_(* \(#,##0.00\);_(* \-??_);_(@_)"/>
    <numFmt numFmtId="177" formatCode="_-&quot;R$&quot;\ * #,##0.00_-;\-&quot;R$&quot;\ * #,##0.00_-;_-&quot;R$&quot;\ * &quot;-&quot;??_-;_-@_-"/>
    <numFmt numFmtId="178" formatCode="_-* #,##0_-;\-* #,##0_-;_-* &quot;-&quot;_-;_-@_-"/>
    <numFmt numFmtId="179" formatCode="_-&quot;R$&quot;\ * #,##0_-;\-&quot;R$&quot;\ * #,##0_-;_-&quot;R$&quot;\ * &quot;-&quot;_-;_-@_-"/>
    <numFmt numFmtId="180" formatCode="#,##0.00\ ;&quot; (&quot;#,##0.00\);&quot; -&quot;#\ ;@\ "/>
    <numFmt numFmtId="181" formatCode="0.00_);\(0.00\)"/>
  </numFmts>
  <fonts count="49">
    <font>
      <sz val="11"/>
      <color indexed="8"/>
      <name val="Calibri"/>
      <charset val="134"/>
    </font>
    <font>
      <b/>
      <sz val="9"/>
      <name val="Arial"/>
      <charset val="134"/>
    </font>
    <font>
      <b/>
      <sz val="10"/>
      <name val="Arial"/>
      <charset val="134"/>
    </font>
    <font>
      <sz val="11"/>
      <name val="Calibri"/>
      <charset val="134"/>
    </font>
    <font>
      <b/>
      <sz val="11"/>
      <name val="Calibri"/>
      <charset val="134"/>
    </font>
    <font>
      <b/>
      <sz val="14"/>
      <name val="Arial"/>
      <charset val="134"/>
    </font>
    <font>
      <b/>
      <sz val="12"/>
      <name val="Calibri"/>
      <charset val="134"/>
    </font>
    <font>
      <sz val="14"/>
      <name val="Calibri"/>
      <charset val="134"/>
    </font>
    <font>
      <sz val="10"/>
      <name val="Arial"/>
      <charset val="134"/>
    </font>
    <font>
      <b/>
      <sz val="10"/>
      <color indexed="8"/>
      <name val="Arial"/>
      <charset val="134"/>
    </font>
    <font>
      <sz val="14"/>
      <name val="Arial"/>
      <charset val="134"/>
    </font>
    <font>
      <b/>
      <sz val="12"/>
      <color indexed="10"/>
      <name val="Calibri"/>
      <charset val="134"/>
    </font>
    <font>
      <sz val="12"/>
      <color indexed="8"/>
      <name val="Calibri"/>
      <charset val="134"/>
    </font>
    <font>
      <b/>
      <sz val="14"/>
      <name val="Calibri"/>
      <charset val="134"/>
    </font>
    <font>
      <sz val="12"/>
      <name val="Calibri"/>
      <charset val="134"/>
    </font>
    <font>
      <b/>
      <sz val="10"/>
      <name val="Calibri"/>
      <charset val="134"/>
    </font>
    <font>
      <b/>
      <sz val="12"/>
      <color indexed="8"/>
      <name val="Calibri"/>
      <charset val="134"/>
    </font>
    <font>
      <b/>
      <u/>
      <sz val="12"/>
      <name val="Calibri"/>
      <charset val="134"/>
    </font>
    <font>
      <sz val="14"/>
      <color indexed="53"/>
      <name val="Calibri"/>
      <charset val="134"/>
    </font>
    <font>
      <sz val="10"/>
      <name val="Calibri"/>
      <charset val="134"/>
    </font>
    <font>
      <b/>
      <sz val="7"/>
      <name val="Comic Sans MS"/>
      <charset val="134"/>
    </font>
    <font>
      <b/>
      <sz val="12"/>
      <color indexed="10"/>
      <name val="Arial"/>
      <charset val="134"/>
    </font>
    <font>
      <b/>
      <sz val="12"/>
      <name val="Arial"/>
      <charset val="134"/>
    </font>
    <font>
      <sz val="11"/>
      <name val="Comic Sans MS"/>
      <charset val="134"/>
    </font>
    <font>
      <b/>
      <sz val="12"/>
      <color indexed="8"/>
      <name val="Arial"/>
      <charset val="134"/>
    </font>
    <font>
      <sz val="10"/>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vertAlign val="superscript"/>
      <sz val="14"/>
      <name val="Calibri"/>
      <charset val="134"/>
    </font>
    <font>
      <b/>
      <vertAlign val="superscript"/>
      <sz val="12"/>
      <name val="Calibri"/>
      <charset val="134"/>
    </font>
    <font>
      <b/>
      <i/>
      <sz val="12"/>
      <name val="Calibri"/>
      <charset val="134"/>
    </font>
    <font>
      <b/>
      <i/>
      <u/>
      <sz val="12"/>
      <name val="Calibri"/>
      <charset val="134"/>
    </font>
  </fonts>
  <fills count="37">
    <fill>
      <patternFill patternType="none"/>
    </fill>
    <fill>
      <patternFill patternType="gray125"/>
    </fill>
    <fill>
      <patternFill patternType="solid">
        <fgColor indexed="55"/>
        <bgColor indexed="22"/>
      </patternFill>
    </fill>
    <fill>
      <patternFill patternType="solid">
        <fgColor indexed="22"/>
        <bgColor indexed="55"/>
      </patternFill>
    </fill>
    <fill>
      <patternFill patternType="solid">
        <fgColor indexed="9"/>
        <bgColor indexed="26"/>
      </patternFill>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auto="1"/>
      </left>
      <right/>
      <top style="medium">
        <color auto="1"/>
      </top>
      <bottom style="medium">
        <color indexed="8"/>
      </bottom>
      <diagonal/>
    </border>
    <border>
      <left style="medium">
        <color indexed="8"/>
      </left>
      <right style="medium">
        <color indexed="8"/>
      </right>
      <top style="medium">
        <color auto="1"/>
      </top>
      <bottom style="medium">
        <color indexed="8"/>
      </bottom>
      <diagonal/>
    </border>
    <border>
      <left style="medium">
        <color auto="1"/>
      </left>
      <right/>
      <top style="medium">
        <color indexed="8"/>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indexed="8"/>
      </right>
      <top/>
      <bottom/>
      <diagonal/>
    </border>
    <border>
      <left style="thin">
        <color indexed="8"/>
      </left>
      <right style="thin">
        <color indexed="8"/>
      </right>
      <top/>
      <bottom/>
      <diagonal/>
    </border>
    <border>
      <left style="medium">
        <color indexed="8"/>
      </left>
      <right style="medium">
        <color auto="1"/>
      </right>
      <top style="medium">
        <color auto="1"/>
      </top>
      <bottom style="medium">
        <color indexed="8"/>
      </bottom>
      <diagonal/>
    </border>
    <border>
      <left/>
      <right style="medium">
        <color auto="1"/>
      </right>
      <top style="medium">
        <color indexed="8"/>
      </top>
      <bottom/>
      <diagonal/>
    </border>
    <border>
      <left style="thin">
        <color auto="1"/>
      </left>
      <right style="medium">
        <color auto="1"/>
      </right>
      <top style="thin">
        <color auto="1"/>
      </top>
      <bottom style="thin">
        <color auto="1"/>
      </bottom>
      <diagonal/>
    </border>
    <border>
      <left/>
      <right style="medium">
        <color auto="1"/>
      </right>
      <top/>
      <bottom/>
      <diagonal/>
    </border>
    <border>
      <left style="medium">
        <color auto="1"/>
      </left>
      <right/>
      <top style="thin">
        <color auto="1"/>
      </top>
      <bottom style="medium">
        <color indexed="8"/>
      </bottom>
      <diagonal/>
    </border>
    <border>
      <left/>
      <right/>
      <top style="thin">
        <color auto="1"/>
      </top>
      <bottom style="medium">
        <color indexed="8"/>
      </bottom>
      <diagonal/>
    </border>
    <border>
      <left/>
      <right style="medium">
        <color indexed="8"/>
      </right>
      <top style="thin">
        <color auto="1"/>
      </top>
      <bottom style="medium">
        <color indexed="8"/>
      </bottom>
      <diagonal/>
    </border>
    <border>
      <left/>
      <right/>
      <top/>
      <bottom style="medium">
        <color indexed="8"/>
      </bottom>
      <diagonal/>
    </border>
    <border>
      <left style="medium">
        <color auto="1"/>
      </left>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indexed="8"/>
      </bottom>
      <diagonal/>
    </border>
    <border>
      <left/>
      <right style="medium">
        <color auto="1"/>
      </right>
      <top style="medium">
        <color indexed="8"/>
      </top>
      <bottom style="medium">
        <color indexed="8"/>
      </bottom>
      <diagonal/>
    </border>
    <border>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ill="0" applyBorder="0" applyAlignment="0" applyProtection="0"/>
    <xf numFmtId="177" fontId="25" fillId="0" borderId="0" applyFont="0" applyFill="0" applyBorder="0" applyAlignment="0" applyProtection="0">
      <alignment vertical="center"/>
    </xf>
    <xf numFmtId="9" fontId="0" fillId="0" borderId="0" applyFill="0" applyBorder="0" applyAlignment="0" applyProtection="0"/>
    <xf numFmtId="178" fontId="25" fillId="0" borderId="0" applyFont="0" applyFill="0" applyBorder="0" applyAlignment="0" applyProtection="0">
      <alignment vertical="center"/>
    </xf>
    <xf numFmtId="179"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6" borderId="29"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30" applyNumberFormat="0" applyFill="0" applyAlignment="0" applyProtection="0">
      <alignment vertical="center"/>
    </xf>
    <xf numFmtId="0" fontId="32" fillId="0" borderId="30" applyNumberFormat="0" applyFill="0" applyAlignment="0" applyProtection="0">
      <alignment vertical="center"/>
    </xf>
    <xf numFmtId="0" fontId="33" fillId="0" borderId="31" applyNumberFormat="0" applyFill="0" applyAlignment="0" applyProtection="0">
      <alignment vertical="center"/>
    </xf>
    <xf numFmtId="0" fontId="33" fillId="0" borderId="0" applyNumberFormat="0" applyFill="0" applyBorder="0" applyAlignment="0" applyProtection="0">
      <alignment vertical="center"/>
    </xf>
    <xf numFmtId="0" fontId="34" fillId="7" borderId="32" applyNumberFormat="0" applyAlignment="0" applyProtection="0">
      <alignment vertical="center"/>
    </xf>
    <xf numFmtId="0" fontId="35" fillId="8" borderId="33" applyNumberFormat="0" applyAlignment="0" applyProtection="0">
      <alignment vertical="center"/>
    </xf>
    <xf numFmtId="0" fontId="36" fillId="8" borderId="32" applyNumberFormat="0" applyAlignment="0" applyProtection="0">
      <alignment vertical="center"/>
    </xf>
    <xf numFmtId="0" fontId="37" fillId="9" borderId="34" applyNumberFormat="0" applyAlignment="0" applyProtection="0">
      <alignment vertical="center"/>
    </xf>
    <xf numFmtId="0" fontId="38" fillId="0" borderId="35" applyNumberFormat="0" applyFill="0" applyAlignment="0" applyProtection="0">
      <alignment vertical="center"/>
    </xf>
    <xf numFmtId="0" fontId="39" fillId="0" borderId="36" applyNumberFormat="0" applyFill="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4" fillId="34" borderId="0" applyNumberFormat="0" applyBorder="0" applyAlignment="0" applyProtection="0">
      <alignment vertical="center"/>
    </xf>
    <xf numFmtId="0" fontId="44" fillId="35" borderId="0" applyNumberFormat="0" applyBorder="0" applyAlignment="0" applyProtection="0">
      <alignment vertical="center"/>
    </xf>
    <xf numFmtId="0" fontId="43" fillId="36" borderId="0" applyNumberFormat="0" applyBorder="0" applyAlignment="0" applyProtection="0">
      <alignment vertical="center"/>
    </xf>
  </cellStyleXfs>
  <cellXfs count="163">
    <xf numFmtId="0" fontId="0" fillId="0" borderId="0" xfId="0"/>
    <xf numFmtId="1" fontId="1"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xf>
    <xf numFmtId="1"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1" fontId="3" fillId="0" borderId="1" xfId="3" applyNumberFormat="1" applyFont="1" applyFill="1" applyBorder="1" applyAlignment="1" applyProtection="1">
      <alignment horizontal="center" vertical="center"/>
    </xf>
    <xf numFmtId="10" fontId="3" fillId="0" borderId="1" xfId="3" applyNumberFormat="1" applyFont="1" applyFill="1" applyBorder="1" applyAlignment="1" applyProtection="1">
      <alignment vertical="center" wrapText="1"/>
    </xf>
    <xf numFmtId="4" fontId="3" fillId="0" borderId="1" xfId="3" applyNumberFormat="1" applyFont="1" applyFill="1" applyBorder="1" applyAlignment="1" applyProtection="1">
      <alignment horizontal="center" vertical="center"/>
    </xf>
    <xf numFmtId="1" fontId="4" fillId="0" borderId="1" xfId="3" applyNumberFormat="1" applyFont="1" applyFill="1" applyBorder="1" applyAlignment="1" applyProtection="1">
      <alignment horizontal="center" vertical="center"/>
    </xf>
    <xf numFmtId="4" fontId="4" fillId="0" borderId="1" xfId="3" applyNumberFormat="1" applyFont="1" applyFill="1" applyBorder="1" applyAlignment="1" applyProtection="1">
      <alignment horizontal="center" vertical="center"/>
    </xf>
    <xf numFmtId="1" fontId="5" fillId="0" borderId="1" xfId="3" applyNumberFormat="1" applyFont="1" applyFill="1" applyBorder="1" applyAlignment="1" applyProtection="1">
      <alignment horizontal="center" vertical="center"/>
    </xf>
    <xf numFmtId="1" fontId="6" fillId="4" borderId="2" xfId="0" applyNumberFormat="1" applyFont="1" applyFill="1" applyBorder="1" applyAlignment="1">
      <alignment horizontal="center" vertical="center"/>
    </xf>
    <xf numFmtId="49" fontId="6" fillId="4" borderId="1" xfId="0" applyNumberFormat="1" applyFont="1" applyFill="1" applyBorder="1" applyAlignment="1">
      <alignment horizontal="left" vertical="center" wrapText="1"/>
    </xf>
    <xf numFmtId="1"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0" fontId="2" fillId="0" borderId="1" xfId="3" applyNumberFormat="1" applyFont="1" applyFill="1" applyBorder="1" applyAlignment="1" applyProtection="1">
      <alignment horizontal="center" vertical="center"/>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center" vertical="center"/>
    </xf>
    <xf numFmtId="10" fontId="3" fillId="0" borderId="1" xfId="3" applyNumberFormat="1" applyFont="1" applyFill="1" applyBorder="1" applyAlignment="1" applyProtection="1">
      <alignment vertical="center"/>
    </xf>
    <xf numFmtId="4" fontId="3" fillId="0" borderId="1" xfId="3" applyNumberFormat="1" applyFont="1" applyFill="1" applyBorder="1" applyAlignment="1" applyProtection="1">
      <alignment vertical="center"/>
    </xf>
    <xf numFmtId="10" fontId="0" fillId="0" borderId="1" xfId="3" applyNumberFormat="1" applyFont="1" applyFill="1" applyBorder="1" applyAlignment="1" applyProtection="1">
      <alignment vertical="center" wrapText="1"/>
    </xf>
    <xf numFmtId="10" fontId="4" fillId="0" borderId="1" xfId="3" applyNumberFormat="1" applyFont="1" applyFill="1" applyBorder="1" applyAlignment="1" applyProtection="1">
      <alignment vertical="center"/>
    </xf>
    <xf numFmtId="4" fontId="4" fillId="0" borderId="1" xfId="3" applyNumberFormat="1" applyFont="1" applyFill="1" applyBorder="1" applyAlignment="1" applyProtection="1">
      <alignment vertical="center"/>
    </xf>
    <xf numFmtId="1" fontId="4" fillId="0" borderId="1" xfId="0" applyNumberFormat="1" applyFont="1" applyFill="1" applyBorder="1" applyAlignment="1">
      <alignment horizontal="left" vertical="center"/>
    </xf>
    <xf numFmtId="49" fontId="6" fillId="4" borderId="1" xfId="0" applyNumberFormat="1" applyFont="1" applyFill="1" applyBorder="1" applyAlignment="1">
      <alignment horizontal="left" vertical="center"/>
    </xf>
    <xf numFmtId="10" fontId="2" fillId="0" borderId="1" xfId="0" applyNumberFormat="1" applyFont="1" applyFill="1" applyBorder="1" applyAlignment="1">
      <alignment horizontal="center" vertical="center"/>
    </xf>
    <xf numFmtId="0" fontId="0" fillId="0" borderId="0" xfId="0" applyNumberFormat="1"/>
    <xf numFmtId="0" fontId="3" fillId="4" borderId="0" xfId="0" applyFont="1" applyFill="1"/>
    <xf numFmtId="0" fontId="7" fillId="4" borderId="0" xfId="0" applyFont="1" applyFill="1"/>
    <xf numFmtId="0" fontId="2" fillId="4" borderId="0" xfId="0" applyFont="1" applyFill="1" applyBorder="1"/>
    <xf numFmtId="0" fontId="2" fillId="4" borderId="0" xfId="0" applyFont="1" applyFill="1" applyBorder="1" applyAlignment="1">
      <alignment vertical="center" wrapText="1"/>
    </xf>
    <xf numFmtId="0" fontId="8" fillId="4" borderId="0" xfId="0" applyFont="1" applyFill="1" applyBorder="1" applyAlignment="1">
      <alignment vertical="center" wrapText="1"/>
    </xf>
    <xf numFmtId="0" fontId="2" fillId="0" borderId="0" xfId="0" applyFont="1" applyFill="1" applyBorder="1" applyAlignment="1">
      <alignment vertical="center" wrapText="1"/>
    </xf>
    <xf numFmtId="0" fontId="9" fillId="4" borderId="0" xfId="0" applyFont="1" applyFill="1" applyBorder="1"/>
    <xf numFmtId="49" fontId="0" fillId="4" borderId="0" xfId="0" applyNumberFormat="1" applyFont="1" applyFill="1"/>
    <xf numFmtId="0" fontId="0" fillId="4" borderId="0" xfId="0" applyFont="1" applyFill="1" applyAlignment="1">
      <alignment horizontal="justify" wrapText="1"/>
    </xf>
    <xf numFmtId="0" fontId="10" fillId="4" borderId="0" xfId="0" applyFont="1" applyFill="1" applyAlignment="1">
      <alignment vertical="center"/>
    </xf>
    <xf numFmtId="0" fontId="10" fillId="4" borderId="0" xfId="0" applyFont="1" applyFill="1" applyAlignment="1">
      <alignment horizontal="center" vertical="center"/>
    </xf>
    <xf numFmtId="4" fontId="10" fillId="4" borderId="0" xfId="1" applyNumberFormat="1" applyFont="1" applyFill="1" applyBorder="1" applyAlignment="1" applyProtection="1">
      <alignment horizontal="center" vertical="center"/>
    </xf>
    <xf numFmtId="0" fontId="11" fillId="4" borderId="0" xfId="0" applyFont="1" applyFill="1" applyBorder="1" applyAlignment="1">
      <alignment horizontal="center"/>
    </xf>
    <xf numFmtId="0" fontId="12" fillId="4" borderId="0" xfId="0" applyFont="1" applyFill="1" applyAlignment="1">
      <alignment horizontal="center"/>
    </xf>
    <xf numFmtId="0" fontId="0" fillId="4" borderId="0" xfId="0" applyFont="1" applyFill="1"/>
    <xf numFmtId="0" fontId="13" fillId="4" borderId="3" xfId="0" applyFont="1" applyFill="1" applyBorder="1" applyAlignment="1" applyProtection="1">
      <alignment horizontal="center" vertical="center"/>
      <protection locked="0"/>
    </xf>
    <xf numFmtId="0" fontId="13" fillId="4" borderId="4" xfId="0" applyFont="1" applyFill="1" applyBorder="1" applyAlignment="1" applyProtection="1">
      <alignment horizontal="center" vertical="center"/>
      <protection locked="0"/>
    </xf>
    <xf numFmtId="49" fontId="13" fillId="4" borderId="5" xfId="0" applyNumberFormat="1" applyFont="1" applyFill="1" applyBorder="1" applyAlignment="1" applyProtection="1">
      <alignment horizontal="left" vertical="center"/>
      <protection locked="0"/>
    </xf>
    <xf numFmtId="49" fontId="13" fillId="4" borderId="6" xfId="0" applyNumberFormat="1" applyFont="1" applyFill="1" applyBorder="1" applyAlignment="1" applyProtection="1">
      <alignment horizontal="left" vertical="center"/>
      <protection locked="0"/>
    </xf>
    <xf numFmtId="0" fontId="13" fillId="4" borderId="7" xfId="0" applyFont="1" applyFill="1" applyBorder="1" applyAlignment="1" applyProtection="1">
      <alignment horizontal="center" vertical="center"/>
      <protection locked="0"/>
    </xf>
    <xf numFmtId="0" fontId="13" fillId="4" borderId="7" xfId="0" applyNumberFormat="1" applyFont="1" applyFill="1" applyBorder="1" applyAlignment="1" applyProtection="1">
      <alignment vertical="center"/>
      <protection locked="0"/>
    </xf>
    <xf numFmtId="49" fontId="13" fillId="4" borderId="7" xfId="0" applyNumberFormat="1" applyFont="1" applyFill="1" applyBorder="1" applyAlignment="1" applyProtection="1">
      <alignment horizontal="center" vertical="center"/>
      <protection locked="0"/>
    </xf>
    <xf numFmtId="49" fontId="13" fillId="4" borderId="8" xfId="0" applyNumberFormat="1" applyFont="1" applyFill="1" applyBorder="1" applyAlignment="1" applyProtection="1">
      <alignment horizontal="center" vertical="center"/>
      <protection locked="0"/>
    </xf>
    <xf numFmtId="49" fontId="13" fillId="4" borderId="9" xfId="0" applyNumberFormat="1" applyFont="1" applyFill="1" applyBorder="1" applyAlignment="1" applyProtection="1">
      <alignment horizontal="left" vertical="center"/>
      <protection locked="0"/>
    </xf>
    <xf numFmtId="49" fontId="13" fillId="4" borderId="10" xfId="0" applyNumberFormat="1" applyFont="1" applyFill="1" applyBorder="1" applyAlignment="1" applyProtection="1">
      <alignment horizontal="left" vertical="center"/>
      <protection locked="0"/>
    </xf>
    <xf numFmtId="49" fontId="13" fillId="3" borderId="10" xfId="0" applyNumberFormat="1" applyFont="1" applyFill="1" applyBorder="1" applyAlignment="1" applyProtection="1">
      <alignment horizontal="center" vertical="center"/>
      <protection locked="0"/>
    </xf>
    <xf numFmtId="9" fontId="13" fillId="3" borderId="10" xfId="0" applyNumberFormat="1" applyFont="1" applyFill="1" applyBorder="1" applyAlignment="1" applyProtection="1">
      <alignment horizontal="center" vertical="center"/>
      <protection locked="0"/>
    </xf>
    <xf numFmtId="49" fontId="13" fillId="4" borderId="10" xfId="0" applyNumberFormat="1" applyFont="1" applyFill="1" applyBorder="1" applyAlignment="1" applyProtection="1">
      <alignment horizontal="center" vertical="center"/>
      <protection locked="0"/>
    </xf>
    <xf numFmtId="10" fontId="13" fillId="5" borderId="10" xfId="0" applyNumberFormat="1" applyFont="1" applyFill="1" applyBorder="1" applyAlignment="1" applyProtection="1">
      <alignment horizontal="center" vertical="center" wrapText="1"/>
      <protection locked="0"/>
    </xf>
    <xf numFmtId="10" fontId="13" fillId="5" borderId="10" xfId="0" applyNumberFormat="1" applyFont="1" applyFill="1" applyBorder="1" applyAlignment="1" applyProtection="1">
      <alignment horizontal="center" vertical="center"/>
      <protection locked="0"/>
    </xf>
    <xf numFmtId="49" fontId="13" fillId="4" borderId="9" xfId="0" applyNumberFormat="1" applyFont="1" applyFill="1" applyBorder="1" applyAlignment="1" applyProtection="1">
      <alignment horizontal="center" vertical="center"/>
      <protection locked="0"/>
    </xf>
    <xf numFmtId="0" fontId="13" fillId="4" borderId="10" xfId="0" applyFont="1" applyFill="1" applyBorder="1" applyAlignment="1" applyProtection="1">
      <alignment horizontal="center" vertical="center" wrapText="1"/>
      <protection locked="0"/>
    </xf>
    <xf numFmtId="4" fontId="13" fillId="4" borderId="10" xfId="1" applyNumberFormat="1" applyFont="1" applyFill="1" applyBorder="1" applyAlignment="1" applyProtection="1">
      <alignment horizontal="center" vertical="center"/>
      <protection locked="0"/>
    </xf>
    <xf numFmtId="4" fontId="13" fillId="4" borderId="10" xfId="1" applyNumberFormat="1" applyFont="1" applyFill="1" applyBorder="1" applyAlignment="1" applyProtection="1">
      <alignment horizontal="center" vertical="center" wrapText="1"/>
      <protection locked="0"/>
    </xf>
    <xf numFmtId="49" fontId="6" fillId="4" borderId="11" xfId="0" applyNumberFormat="1" applyFont="1" applyFill="1" applyBorder="1" applyAlignment="1" applyProtection="1">
      <alignment horizontal="center" vertical="center" wrapText="1"/>
      <protection locked="0"/>
    </xf>
    <xf numFmtId="0" fontId="13" fillId="4" borderId="12" xfId="0" applyFont="1" applyFill="1" applyBorder="1" applyAlignment="1" applyProtection="1">
      <alignment horizontal="justify" vertical="center" wrapText="1"/>
      <protection locked="0"/>
    </xf>
    <xf numFmtId="0" fontId="7" fillId="4" borderId="12" xfId="0" applyNumberFormat="1" applyFont="1" applyFill="1" applyBorder="1" applyAlignment="1" applyProtection="1">
      <alignment horizontal="center" vertical="center" wrapText="1"/>
      <protection locked="0"/>
    </xf>
    <xf numFmtId="4" fontId="7" fillId="4" borderId="12" xfId="0" applyNumberFormat="1" applyFont="1" applyFill="1" applyBorder="1" applyAlignment="1" applyProtection="1">
      <alignment horizontal="center" vertical="center" wrapText="1"/>
      <protection locked="0"/>
    </xf>
    <xf numFmtId="4" fontId="7" fillId="4" borderId="12" xfId="1" applyNumberFormat="1" applyFont="1" applyFill="1" applyBorder="1" applyAlignment="1" applyProtection="1">
      <alignment horizontal="center" vertical="center" wrapText="1"/>
      <protection locked="0"/>
    </xf>
    <xf numFmtId="180" fontId="7" fillId="4" borderId="12" xfId="0" applyNumberFormat="1" applyFont="1" applyFill="1" applyBorder="1" applyAlignment="1" applyProtection="1">
      <alignment horizontal="center" vertical="center" wrapText="1"/>
      <protection locked="0"/>
    </xf>
    <xf numFmtId="0" fontId="6" fillId="4" borderId="0" xfId="0" applyFont="1" applyFill="1" applyBorder="1" applyAlignment="1" applyProtection="1">
      <alignment horizontal="center" vertical="center" wrapText="1"/>
      <protection locked="0"/>
    </xf>
    <xf numFmtId="49" fontId="6" fillId="4" borderId="9" xfId="0" applyNumberFormat="1" applyFont="1" applyFill="1" applyBorder="1" applyAlignment="1" applyProtection="1">
      <alignment horizontal="center" vertical="center" wrapText="1"/>
      <protection locked="0"/>
    </xf>
    <xf numFmtId="0" fontId="6" fillId="4" borderId="10" xfId="0" applyFont="1" applyFill="1" applyBorder="1" applyAlignment="1" applyProtection="1">
      <alignment horizontal="justify" vertical="center" wrapText="1"/>
      <protection locked="0"/>
    </xf>
    <xf numFmtId="0" fontId="7" fillId="4" borderId="10" xfId="0" applyFont="1" applyFill="1" applyBorder="1" applyAlignment="1" applyProtection="1">
      <alignment horizontal="center" vertical="center" wrapText="1"/>
      <protection locked="0"/>
    </xf>
    <xf numFmtId="4" fontId="7" fillId="4" borderId="10" xfId="0" applyNumberFormat="1" applyFont="1" applyFill="1" applyBorder="1" applyAlignment="1" applyProtection="1">
      <alignment horizontal="center" vertical="center" wrapText="1"/>
      <protection locked="0"/>
    </xf>
    <xf numFmtId="180" fontId="7" fillId="4" borderId="10" xfId="0" applyNumberFormat="1" applyFont="1" applyFill="1" applyBorder="1" applyAlignment="1" applyProtection="1">
      <alignment horizontal="center" vertical="center" wrapText="1"/>
      <protection locked="0"/>
    </xf>
    <xf numFmtId="2" fontId="6" fillId="4" borderId="10" xfId="0" applyNumberFormat="1" applyFont="1" applyFill="1" applyBorder="1" applyAlignment="1" applyProtection="1">
      <alignment horizontal="center" vertical="center" wrapText="1"/>
      <protection locked="0"/>
    </xf>
    <xf numFmtId="0" fontId="14" fillId="4" borderId="10" xfId="0" applyFont="1" applyFill="1" applyBorder="1" applyAlignment="1" applyProtection="1">
      <alignment horizontal="justify" vertical="center" wrapText="1"/>
      <protection locked="0"/>
    </xf>
    <xf numFmtId="0" fontId="14" fillId="4" borderId="10" xfId="0" applyFont="1" applyFill="1" applyBorder="1" applyAlignment="1" applyProtection="1">
      <alignment vertical="center" wrapText="1"/>
      <protection locked="0"/>
    </xf>
    <xf numFmtId="0" fontId="6" fillId="4" borderId="10" xfId="0" applyFont="1" applyFill="1" applyBorder="1" applyAlignment="1" applyProtection="1">
      <alignment horizontal="center" vertical="center" wrapText="1"/>
      <protection locked="0"/>
    </xf>
    <xf numFmtId="0" fontId="6" fillId="4" borderId="10" xfId="0" applyFont="1" applyFill="1" applyBorder="1" applyAlignment="1">
      <alignment horizontal="justify" vertical="center" wrapText="1"/>
    </xf>
    <xf numFmtId="2" fontId="6" fillId="4" borderId="10" xfId="0" applyNumberFormat="1" applyFont="1" applyFill="1" applyBorder="1" applyAlignment="1" applyProtection="1">
      <alignment vertical="center" wrapText="1"/>
      <protection locked="0"/>
    </xf>
    <xf numFmtId="0" fontId="6" fillId="4" borderId="10" xfId="0" applyFont="1" applyFill="1" applyBorder="1" applyAlignment="1" applyProtection="1">
      <alignment vertical="center" wrapText="1"/>
      <protection locked="0"/>
    </xf>
    <xf numFmtId="0" fontId="13" fillId="4" borderId="10" xfId="0" applyNumberFormat="1" applyFont="1" applyFill="1" applyBorder="1" applyAlignment="1" applyProtection="1">
      <alignment horizontal="center" vertical="center" wrapText="1"/>
      <protection locked="0"/>
    </xf>
    <xf numFmtId="180" fontId="13" fillId="4" borderId="10" xfId="0" applyNumberFormat="1" applyFont="1" applyFill="1" applyBorder="1" applyAlignment="1" applyProtection="1">
      <alignment horizontal="center" vertical="center" wrapText="1"/>
      <protection locked="0"/>
    </xf>
    <xf numFmtId="0" fontId="13" fillId="4" borderId="10" xfId="0" applyFont="1" applyFill="1" applyBorder="1" applyAlignment="1" applyProtection="1">
      <alignment horizontal="justify" vertical="center" wrapText="1"/>
      <protection locked="0"/>
    </xf>
    <xf numFmtId="0" fontId="7" fillId="4" borderId="10" xfId="0" applyNumberFormat="1" applyFont="1" applyFill="1" applyBorder="1" applyAlignment="1" applyProtection="1">
      <alignment horizontal="center" vertical="center" wrapText="1"/>
      <protection locked="0"/>
    </xf>
    <xf numFmtId="2" fontId="7" fillId="4" borderId="10" xfId="0" applyNumberFormat="1" applyFont="1" applyFill="1" applyBorder="1" applyAlignment="1" applyProtection="1">
      <alignment horizontal="center" vertical="center" wrapText="1"/>
      <protection locked="0"/>
    </xf>
    <xf numFmtId="0" fontId="15" fillId="4" borderId="10" xfId="0" applyFont="1" applyFill="1" applyBorder="1" applyAlignment="1" applyProtection="1">
      <alignment horizontal="justify" vertical="center" wrapText="1"/>
      <protection locked="0"/>
    </xf>
    <xf numFmtId="4" fontId="7" fillId="4" borderId="10" xfId="1" applyNumberFormat="1" applyFont="1" applyFill="1" applyBorder="1" applyAlignment="1" applyProtection="1">
      <alignment horizontal="center" vertical="center" wrapText="1"/>
      <protection locked="0"/>
    </xf>
    <xf numFmtId="181" fontId="7" fillId="4" borderId="10" xfId="0" applyNumberFormat="1" applyFont="1" applyFill="1" applyBorder="1" applyAlignment="1" applyProtection="1">
      <alignment horizontal="center" vertical="center" wrapText="1"/>
      <protection locked="0"/>
    </xf>
    <xf numFmtId="0" fontId="13" fillId="4" borderId="13" xfId="0" applyFont="1" applyFill="1" applyBorder="1" applyAlignment="1" applyProtection="1">
      <alignment horizontal="center" vertical="center"/>
      <protection locked="0"/>
    </xf>
    <xf numFmtId="49" fontId="13" fillId="4" borderId="14" xfId="0" applyNumberFormat="1" applyFont="1" applyFill="1" applyBorder="1" applyAlignment="1" applyProtection="1">
      <alignment horizontal="center" vertical="center"/>
      <protection locked="0"/>
    </xf>
    <xf numFmtId="49" fontId="13" fillId="4" borderId="15" xfId="0" applyNumberFormat="1" applyFont="1" applyFill="1" applyBorder="1" applyAlignment="1" applyProtection="1">
      <alignment horizontal="center" vertical="center"/>
      <protection locked="0"/>
    </xf>
    <xf numFmtId="0" fontId="13" fillId="4" borderId="15" xfId="0" applyFont="1" applyFill="1" applyBorder="1" applyAlignment="1" applyProtection="1">
      <alignment horizontal="center" vertical="center" wrapText="1"/>
      <protection locked="0"/>
    </xf>
    <xf numFmtId="0" fontId="6" fillId="4" borderId="16" xfId="0" applyFont="1" applyFill="1" applyBorder="1" applyAlignment="1" applyProtection="1">
      <alignment horizontal="center" vertical="center" wrapText="1"/>
      <protection locked="0"/>
    </xf>
    <xf numFmtId="180" fontId="6" fillId="4" borderId="15" xfId="0" applyNumberFormat="1" applyFont="1" applyFill="1" applyBorder="1" applyAlignment="1" applyProtection="1">
      <alignment horizontal="center" vertical="center" wrapText="1"/>
      <protection locked="0"/>
    </xf>
    <xf numFmtId="0" fontId="14" fillId="4" borderId="15" xfId="0" applyFont="1" applyFill="1" applyBorder="1" applyAlignment="1" applyProtection="1">
      <alignment vertical="center" wrapText="1"/>
      <protection locked="0"/>
    </xf>
    <xf numFmtId="2" fontId="6" fillId="4" borderId="15" xfId="0" applyNumberFormat="1" applyFont="1" applyFill="1" applyBorder="1" applyAlignment="1" applyProtection="1">
      <alignment vertical="center" wrapText="1"/>
      <protection locked="0"/>
    </xf>
    <xf numFmtId="0" fontId="6" fillId="4" borderId="15" xfId="0" applyFont="1" applyFill="1" applyBorder="1" applyAlignment="1" applyProtection="1">
      <alignment vertical="center" wrapText="1"/>
      <protection locked="0"/>
    </xf>
    <xf numFmtId="2" fontId="16" fillId="4" borderId="10" xfId="0" applyNumberFormat="1" applyFont="1" applyFill="1" applyBorder="1" applyAlignment="1" applyProtection="1">
      <alignment horizontal="center" vertical="center" wrapText="1"/>
      <protection locked="0"/>
    </xf>
    <xf numFmtId="0" fontId="17" fillId="4" borderId="10" xfId="0" applyFont="1" applyFill="1" applyBorder="1" applyAlignment="1" applyProtection="1">
      <alignment horizontal="justify" vertical="center" wrapText="1"/>
      <protection locked="0"/>
    </xf>
    <xf numFmtId="49" fontId="15" fillId="4" borderId="9" xfId="0" applyNumberFormat="1" applyFont="1" applyFill="1" applyBorder="1" applyAlignment="1" applyProtection="1">
      <alignment horizontal="center" vertical="center" wrapText="1"/>
      <protection locked="0"/>
    </xf>
    <xf numFmtId="49" fontId="6" fillId="0" borderId="9" xfId="0" applyNumberFormat="1" applyFont="1" applyFill="1" applyBorder="1" applyAlignment="1" applyProtection="1">
      <alignment horizontal="center" vertical="center" wrapText="1"/>
      <protection locked="0"/>
    </xf>
    <xf numFmtId="0" fontId="14" fillId="0" borderId="10" xfId="0" applyFont="1" applyFill="1" applyBorder="1" applyAlignment="1" applyProtection="1">
      <alignment horizontal="justify" vertical="center" wrapText="1"/>
      <protection locked="0"/>
    </xf>
    <xf numFmtId="0" fontId="7" fillId="0" borderId="10" xfId="0" applyFont="1" applyFill="1" applyBorder="1" applyAlignment="1" applyProtection="1">
      <alignment horizontal="center" vertical="center" wrapText="1"/>
      <protection locked="0"/>
    </xf>
    <xf numFmtId="2" fontId="7" fillId="0" borderId="10" xfId="0" applyNumberFormat="1" applyFont="1" applyFill="1" applyBorder="1" applyAlignment="1" applyProtection="1">
      <alignment horizontal="center" vertical="center" wrapText="1"/>
      <protection locked="0"/>
    </xf>
    <xf numFmtId="4" fontId="7" fillId="0" borderId="10" xfId="0" applyNumberFormat="1" applyFont="1" applyFill="1" applyBorder="1" applyAlignment="1" applyProtection="1">
      <alignment horizontal="center" vertical="center" wrapText="1"/>
      <protection locked="0"/>
    </xf>
    <xf numFmtId="180" fontId="7" fillId="0" borderId="10" xfId="0" applyNumberFormat="1"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justify" vertical="center" wrapText="1"/>
      <protection locked="0"/>
    </xf>
    <xf numFmtId="180" fontId="6" fillId="4" borderId="10" xfId="0" applyNumberFormat="1" applyFont="1" applyFill="1" applyBorder="1" applyAlignment="1" applyProtection="1">
      <alignment horizontal="center" vertical="center" wrapText="1"/>
      <protection locked="0"/>
    </xf>
    <xf numFmtId="180" fontId="6" fillId="0" borderId="15" xfId="0" applyNumberFormat="1" applyFont="1" applyFill="1" applyBorder="1" applyAlignment="1" applyProtection="1">
      <alignment horizontal="center" vertical="center" wrapText="1"/>
      <protection locked="0"/>
    </xf>
    <xf numFmtId="0" fontId="3" fillId="0" borderId="0" xfId="0" applyFont="1" applyFill="1"/>
    <xf numFmtId="0" fontId="7" fillId="0" borderId="0" xfId="0" applyFont="1" applyFill="1"/>
    <xf numFmtId="0" fontId="6" fillId="0" borderId="10" xfId="0" applyFont="1" applyFill="1" applyBorder="1" applyAlignment="1">
      <alignment horizontal="justify" vertical="center" wrapText="1"/>
    </xf>
    <xf numFmtId="0" fontId="0" fillId="0" borderId="10" xfId="0" applyBorder="1"/>
    <xf numFmtId="0" fontId="14" fillId="4" borderId="10" xfId="0" applyFont="1" applyFill="1" applyBorder="1" applyAlignment="1">
      <alignment horizontal="justify" vertical="center" wrapText="1"/>
    </xf>
    <xf numFmtId="49" fontId="6" fillId="4" borderId="9" xfId="0" applyNumberFormat="1" applyFont="1" applyFill="1" applyBorder="1" applyAlignment="1">
      <alignment horizontal="center" vertical="center" wrapText="1"/>
    </xf>
    <xf numFmtId="0" fontId="7" fillId="4" borderId="10" xfId="0" applyFont="1" applyFill="1" applyBorder="1" applyAlignment="1">
      <alignment horizontal="center" vertical="center" wrapText="1"/>
    </xf>
    <xf numFmtId="0" fontId="15" fillId="4" borderId="10" xfId="0" applyFont="1" applyFill="1" applyBorder="1" applyAlignment="1">
      <alignment vertical="center" wrapText="1"/>
    </xf>
    <xf numFmtId="2" fontId="18" fillId="4" borderId="10" xfId="0" applyNumberFormat="1" applyFont="1" applyFill="1" applyBorder="1" applyAlignment="1" applyProtection="1">
      <alignment horizontal="center" vertical="center" wrapText="1"/>
      <protection locked="0"/>
    </xf>
    <xf numFmtId="49" fontId="6" fillId="4" borderId="10" xfId="0" applyNumberFormat="1" applyFont="1" applyFill="1" applyBorder="1" applyAlignment="1" applyProtection="1">
      <alignment horizontal="justify" vertical="center" wrapText="1"/>
      <protection locked="0"/>
    </xf>
    <xf numFmtId="49" fontId="14" fillId="4" borderId="10" xfId="0" applyNumberFormat="1" applyFont="1" applyFill="1" applyBorder="1" applyAlignment="1" applyProtection="1">
      <alignment horizontal="justify" vertical="center" wrapText="1"/>
      <protection locked="0"/>
    </xf>
    <xf numFmtId="1" fontId="6" fillId="4" borderId="9" xfId="0" applyNumberFormat="1" applyFont="1" applyFill="1" applyBorder="1" applyAlignment="1" applyProtection="1">
      <alignment horizontal="center" vertical="center" wrapText="1"/>
      <protection locked="0"/>
    </xf>
    <xf numFmtId="0" fontId="6" fillId="4" borderId="10" xfId="0" applyFont="1" applyFill="1" applyBorder="1" applyAlignment="1" applyProtection="1">
      <alignment horizontal="justify" vertical="center" wrapText="1" shrinkToFit="1"/>
      <protection locked="0"/>
    </xf>
    <xf numFmtId="0" fontId="14" fillId="4" borderId="10" xfId="0" applyFont="1" applyFill="1" applyBorder="1" applyAlignment="1" applyProtection="1">
      <alignment horizontal="justify" vertical="center" wrapText="1" shrinkToFit="1"/>
      <protection locked="0"/>
    </xf>
    <xf numFmtId="0" fontId="17" fillId="4" borderId="10" xfId="0" applyFont="1" applyFill="1" applyBorder="1" applyAlignment="1" applyProtection="1">
      <alignment horizontal="justify" vertical="center" wrapText="1" shrinkToFit="1"/>
      <protection locked="0"/>
    </xf>
    <xf numFmtId="0" fontId="2" fillId="4" borderId="15" xfId="0" applyFont="1" applyFill="1" applyBorder="1" applyAlignment="1">
      <alignment vertical="center" wrapText="1"/>
    </xf>
    <xf numFmtId="0" fontId="7" fillId="4" borderId="9" xfId="0" applyFont="1" applyFill="1" applyBorder="1" applyAlignment="1" applyProtection="1">
      <alignment horizontal="center" vertical="center" wrapText="1"/>
      <protection locked="0"/>
    </xf>
    <xf numFmtId="0" fontId="15" fillId="4" borderId="10" xfId="0" applyFont="1" applyFill="1" applyBorder="1" applyAlignment="1" applyProtection="1">
      <alignment vertical="center" wrapText="1"/>
      <protection locked="0"/>
    </xf>
    <xf numFmtId="49" fontId="19" fillId="4" borderId="9" xfId="0" applyNumberFormat="1" applyFont="1" applyFill="1" applyBorder="1" applyAlignment="1" applyProtection="1">
      <alignment vertical="center" wrapText="1"/>
      <protection locked="0"/>
    </xf>
    <xf numFmtId="0" fontId="19" fillId="4" borderId="10" xfId="0" applyFont="1" applyFill="1" applyBorder="1" applyAlignment="1" applyProtection="1">
      <alignment horizontal="justify" vertical="center" wrapText="1"/>
      <protection locked="0"/>
    </xf>
    <xf numFmtId="0" fontId="13" fillId="4" borderId="10" xfId="0" applyNumberFormat="1" applyFont="1" applyFill="1" applyBorder="1" applyAlignment="1" applyProtection="1">
      <alignment horizontal="right" vertical="center" wrapText="1"/>
      <protection locked="0"/>
    </xf>
    <xf numFmtId="49" fontId="19" fillId="4" borderId="9" xfId="0" applyNumberFormat="1"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protection locked="0"/>
    </xf>
    <xf numFmtId="0" fontId="13" fillId="4" borderId="17" xfId="0" applyFont="1" applyFill="1" applyBorder="1" applyAlignment="1" applyProtection="1">
      <alignment horizontal="center" vertical="center" wrapText="1"/>
      <protection locked="0"/>
    </xf>
    <xf numFmtId="0" fontId="13" fillId="4" borderId="18" xfId="0" applyFont="1" applyFill="1" applyBorder="1" applyAlignment="1" applyProtection="1">
      <alignment horizontal="center" vertical="center" wrapText="1"/>
      <protection locked="0"/>
    </xf>
    <xf numFmtId="0" fontId="13" fillId="4" borderId="19" xfId="0" applyFont="1" applyFill="1" applyBorder="1" applyAlignment="1" applyProtection="1">
      <alignment horizontal="center" vertical="center" wrapText="1"/>
      <protection locked="0"/>
    </xf>
    <xf numFmtId="0" fontId="20" fillId="4" borderId="20" xfId="0" applyFont="1" applyFill="1" applyBorder="1" applyAlignment="1" applyProtection="1">
      <alignment horizontal="center" vertical="center" wrapText="1"/>
      <protection locked="0"/>
    </xf>
    <xf numFmtId="0" fontId="13" fillId="4" borderId="21" xfId="0" applyFont="1" applyFill="1" applyBorder="1" applyAlignment="1" applyProtection="1">
      <alignment horizontal="left" vertical="center" wrapText="1"/>
      <protection locked="0"/>
    </xf>
    <xf numFmtId="0" fontId="13" fillId="4" borderId="22" xfId="0" applyFont="1" applyFill="1" applyBorder="1" applyAlignment="1" applyProtection="1">
      <alignment horizontal="left" vertical="center" wrapText="1"/>
      <protection locked="0"/>
    </xf>
    <xf numFmtId="0" fontId="13" fillId="4" borderId="23" xfId="0" applyFont="1" applyFill="1" applyBorder="1" applyAlignment="1" applyProtection="1">
      <alignment horizontal="center" vertical="center" wrapText="1"/>
      <protection locked="0"/>
    </xf>
    <xf numFmtId="0" fontId="13" fillId="4" borderId="23" xfId="0" applyFont="1" applyFill="1" applyBorder="1" applyAlignment="1" applyProtection="1">
      <alignment horizontal="right" vertical="center" wrapText="1"/>
      <protection locked="0"/>
    </xf>
    <xf numFmtId="4" fontId="10" fillId="4" borderId="23" xfId="1" applyNumberFormat="1" applyFont="1" applyFill="1" applyBorder="1" applyAlignment="1" applyProtection="1">
      <alignment horizontal="center" vertical="center"/>
    </xf>
    <xf numFmtId="0" fontId="10" fillId="4" borderId="23" xfId="0" applyFont="1" applyFill="1" applyBorder="1" applyAlignment="1">
      <alignment horizontal="center" vertical="center"/>
    </xf>
    <xf numFmtId="0" fontId="21" fillId="4" borderId="23" xfId="0" applyFont="1" applyFill="1" applyBorder="1" applyAlignment="1">
      <alignment horizontal="center"/>
    </xf>
    <xf numFmtId="49" fontId="0" fillId="4" borderId="24" xfId="0" applyNumberFormat="1" applyFont="1" applyFill="1" applyBorder="1"/>
    <xf numFmtId="0" fontId="22" fillId="4" borderId="25" xfId="0" applyFont="1" applyFill="1" applyBorder="1" applyAlignment="1">
      <alignment horizontal="justify" vertical="top" wrapText="1"/>
    </xf>
    <xf numFmtId="0" fontId="10" fillId="4" borderId="25" xfId="0" applyFont="1" applyFill="1" applyBorder="1" applyAlignment="1">
      <alignment vertical="center"/>
    </xf>
    <xf numFmtId="0" fontId="10" fillId="4" borderId="25" xfId="0" applyFont="1" applyFill="1" applyBorder="1" applyAlignment="1">
      <alignment horizontal="center" vertical="center"/>
    </xf>
    <xf numFmtId="4" fontId="10" fillId="4" borderId="25" xfId="1" applyNumberFormat="1" applyFont="1" applyFill="1" applyBorder="1" applyAlignment="1" applyProtection="1">
      <alignment horizontal="center" vertical="center"/>
    </xf>
    <xf numFmtId="0" fontId="21" fillId="4" borderId="25" xfId="0" applyFont="1" applyFill="1" applyBorder="1" applyAlignment="1">
      <alignment horizontal="center"/>
    </xf>
    <xf numFmtId="49" fontId="0" fillId="4" borderId="0" xfId="0" applyNumberFormat="1" applyFont="1" applyFill="1" applyBorder="1"/>
    <xf numFmtId="0" fontId="22" fillId="4" borderId="0" xfId="0" applyFont="1" applyFill="1" applyBorder="1" applyAlignment="1">
      <alignment horizontal="justify" vertical="top" wrapText="1"/>
    </xf>
    <xf numFmtId="0" fontId="10" fillId="4" borderId="0" xfId="0" applyFont="1" applyFill="1" applyBorder="1" applyAlignment="1">
      <alignment vertical="center"/>
    </xf>
    <xf numFmtId="0" fontId="21" fillId="4" borderId="0" xfId="0" applyFont="1" applyFill="1" applyBorder="1" applyAlignment="1">
      <alignment horizontal="center"/>
    </xf>
    <xf numFmtId="0" fontId="0" fillId="4" borderId="0" xfId="0" applyFont="1" applyFill="1" applyBorder="1" applyAlignment="1">
      <alignment horizontal="justify" wrapText="1"/>
    </xf>
    <xf numFmtId="0" fontId="23" fillId="4" borderId="26" xfId="0" applyFont="1" applyFill="1" applyBorder="1" applyAlignment="1" applyProtection="1">
      <alignment horizontal="center" vertical="center" wrapText="1"/>
      <protection locked="0"/>
    </xf>
    <xf numFmtId="0" fontId="2" fillId="4" borderId="16" xfId="0" applyFont="1" applyFill="1" applyBorder="1"/>
    <xf numFmtId="0" fontId="24" fillId="4" borderId="27" xfId="0" applyFont="1" applyFill="1" applyBorder="1" applyAlignment="1">
      <alignment horizontal="center"/>
    </xf>
    <xf numFmtId="0" fontId="24" fillId="4" borderId="28" xfId="0" applyFont="1" applyFill="1" applyBorder="1" applyAlignment="1">
      <alignment horizontal="center"/>
    </xf>
    <xf numFmtId="0" fontId="24" fillId="4" borderId="0" xfId="0" applyFont="1" applyFill="1" applyBorder="1" applyAlignment="1">
      <alignment horizontal="center"/>
    </xf>
    <xf numFmtId="0" fontId="0" fillId="4" borderId="0" xfId="0" applyFont="1" applyFill="1" applyAlignment="1">
      <alignment vertical="center"/>
    </xf>
    <xf numFmtId="4" fontId="0" fillId="4" borderId="0" xfId="0" applyNumberFormat="1" applyFont="1" applyFill="1" applyAlignment="1">
      <alignment vertical="center"/>
    </xf>
  </cellXfs>
  <cellStyles count="49">
    <cellStyle name="Normal" xfId="0" builtinId="0"/>
    <cellStyle name="Comma" xfId="1" builtinId="3"/>
    <cellStyle name="Moeda" xfId="2" builtinId="4"/>
    <cellStyle name="Porcentagem" xfId="3" builtinId="5"/>
    <cellStyle name="Comma [0]" xfId="4" builtinId="6"/>
    <cellStyle name="Moeda [0]" xfId="5" builtinId="7"/>
    <cellStyle name="Hyperlink" xfId="6" builtinId="8"/>
    <cellStyle name="Hyperlink seguido" xfId="7" builtinId="9"/>
    <cellStyle name="Observação" xfId="8" builtinId="10"/>
    <cellStyle name="Texto de Aviso"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ída" xfId="17" builtinId="21"/>
    <cellStyle name="Cálculo" xfId="18" builtinId="22"/>
    <cellStyle name="Célula de Verificação" xfId="19" builtinId="23"/>
    <cellStyle name="Célula Vinculada" xfId="20" builtinId="24"/>
    <cellStyle name="Total" xfId="21" builtinId="25"/>
    <cellStyle name="Bom" xfId="22" builtinId="26"/>
    <cellStyle name="Ruim" xfId="23" builtinId="27"/>
    <cellStyle name="Neutro" xfId="24" builtinId="28"/>
    <cellStyle name="Ênfase 1" xfId="25" builtinId="29"/>
    <cellStyle name="20% - Ênfase 1" xfId="26" builtinId="30"/>
    <cellStyle name="40% - Ênfase 1" xfId="27" builtinId="31"/>
    <cellStyle name="60% - Ênfase 1" xfId="28" builtinId="32"/>
    <cellStyle name="Ênfase 2" xfId="29" builtinId="33"/>
    <cellStyle name="20% - Ênfase 2" xfId="30" builtinId="34"/>
    <cellStyle name="40% - Ênfase 2" xfId="31" builtinId="35"/>
    <cellStyle name="60% - Ênfase 2" xfId="32" builtinId="36"/>
    <cellStyle name="Ênfase 3" xfId="33" builtinId="37"/>
    <cellStyle name="20% - Ênfase 3" xfId="34" builtinId="38"/>
    <cellStyle name="40% - Ênfase 3" xfId="35" builtinId="39"/>
    <cellStyle name="60% - Ênfase 3" xfId="36" builtinId="40"/>
    <cellStyle name="Ênfase 4" xfId="37" builtinId="41"/>
    <cellStyle name="20% - Ênfase 4" xfId="38" builtinId="42"/>
    <cellStyle name="40% - Ênfase 4" xfId="39" builtinId="43"/>
    <cellStyle name="60% - Ênfase 4" xfId="40" builtinId="44"/>
    <cellStyle name="Ênfase 5" xfId="41" builtinId="45"/>
    <cellStyle name="20% - Ênfase 5" xfId="42" builtinId="46"/>
    <cellStyle name="40% - Ênfase 5" xfId="43" builtinId="47"/>
    <cellStyle name="60% - Ênfase 5" xfId="44" builtinId="48"/>
    <cellStyle name="Ênfase 6" xfId="45" builtinId="49"/>
    <cellStyle name="20% - Ênfase 6" xfId="46" builtinId="50"/>
    <cellStyle name="40% - Ênfase 6" xfId="47" builtinId="51"/>
    <cellStyle name="60% - Ênfase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66"/>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14654</xdr:colOff>
      <xdr:row>0</xdr:row>
      <xdr:rowOff>0</xdr:rowOff>
    </xdr:from>
    <xdr:to>
      <xdr:col>1</xdr:col>
      <xdr:colOff>205154</xdr:colOff>
      <xdr:row>0</xdr:row>
      <xdr:rowOff>619125</xdr:rowOff>
    </xdr:to>
    <xdr:grpSp>
      <xdr:nvGrpSpPr>
        <xdr:cNvPr id="1328" name="Group 1"/>
        <xdr:cNvGrpSpPr/>
      </xdr:nvGrpSpPr>
      <xdr:grpSpPr>
        <a:xfrm>
          <a:off x="14605" y="0"/>
          <a:ext cx="962025" cy="619125"/>
          <a:chOff x="0" y="0"/>
          <a:chExt cx="1592" cy="978"/>
        </a:xfrm>
      </xdr:grpSpPr>
      <xdr:sp>
        <xdr:nvSpPr>
          <xdr:cNvPr id="1334" name="Rectangle 2"/>
          <xdr:cNvSpPr>
            <a:spLocks noChangeArrowheads="1"/>
          </xdr:cNvSpPr>
        </xdr:nvSpPr>
        <xdr:spPr>
          <a:xfrm>
            <a:off x="0" y="0"/>
            <a:ext cx="1592" cy="977"/>
          </a:xfrm>
          <a:prstGeom prst="rect">
            <a:avLst/>
          </a:prstGeom>
          <a:blipFill dpi="0" rotWithShape="0">
            <a:srcRect/>
            <a:tile tx="0" ty="0" sx="100000" sy="100000" flip="none" algn="tl"/>
          </a:blipFill>
          <a:ln w="9360" cap="sq">
            <a:solidFill>
              <a:srgbClr val="000000"/>
            </a:solidFill>
            <a:miter lim="800000"/>
          </a:ln>
        </xdr:spPr>
      </xdr:sp>
      <xdr:pic>
        <xdr:nvPicPr>
          <xdr:cNvPr id="1335" name="Picture 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0"/>
            <a:ext cx="1592" cy="9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xdr:nvSpPr>
          <xdr:cNvPr id="1336" name="Rectangle 4"/>
          <xdr:cNvSpPr>
            <a:spLocks noChangeArrowheads="1"/>
          </xdr:cNvSpPr>
        </xdr:nvSpPr>
        <xdr:spPr>
          <a:xfrm>
            <a:off x="0" y="0"/>
            <a:ext cx="1592" cy="977"/>
          </a:xfrm>
          <a:prstGeom prst="rect">
            <a:avLst/>
          </a:prstGeom>
          <a:noFill/>
          <a:ln w="9360" cap="sq">
            <a:solidFill>
              <a:srgbClr val="000000"/>
            </a:solidFill>
            <a:miter lim="800000"/>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1743805</xdr:colOff>
      <xdr:row>0</xdr:row>
      <xdr:rowOff>58615</xdr:rowOff>
    </xdr:from>
    <xdr:to>
      <xdr:col>8</xdr:col>
      <xdr:colOff>1333497</xdr:colOff>
      <xdr:row>0</xdr:row>
      <xdr:rowOff>551717</xdr:rowOff>
    </xdr:to>
    <xdr:pic>
      <xdr:nvPicPr>
        <xdr:cNvPr id="1330" name="Imagem 2"/>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14621510" y="58420"/>
          <a:ext cx="2037080" cy="492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9"/>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711"/>
  <sheetViews>
    <sheetView tabSelected="1" view="pageBreakPreview" zoomScale="65" zoomScaleNormal="90" workbookViewId="0">
      <selection activeCell="C131" sqref="C131"/>
    </sheetView>
  </sheetViews>
  <sheetFormatPr defaultColWidth="8.42857142857143" defaultRowHeight="18.75"/>
  <cols>
    <col min="1" max="1" width="11.5714285714286" style="35" customWidth="1"/>
    <col min="2" max="2" width="95.2857142857143" style="36" customWidth="1"/>
    <col min="3" max="3" width="16" style="37" customWidth="1"/>
    <col min="4" max="4" width="13.1428571428571" style="38" customWidth="1"/>
    <col min="5" max="5" width="18.7142857142857" style="39" customWidth="1"/>
    <col min="6" max="6" width="21.1428571428571" style="39" customWidth="1"/>
    <col min="7" max="7" width="17.2857142857143" style="38" customWidth="1"/>
    <col min="8" max="8" width="36.7142857142857" style="40" customWidth="1"/>
    <col min="9" max="9" width="24" style="41" customWidth="1"/>
    <col min="10" max="10" width="8.42857142857143" style="28" customWidth="1"/>
    <col min="11" max="11" width="18.4285714285714" style="29" customWidth="1"/>
    <col min="12" max="20" width="8.42857142857143" style="28" customWidth="1"/>
    <col min="21" max="16384" width="8.42857142857143" style="42"/>
  </cols>
  <sheetData>
    <row r="1" s="28" customFormat="1" ht="50.1" customHeight="1" spans="1:11">
      <c r="A1" s="43"/>
      <c r="B1" s="44" t="s">
        <v>0</v>
      </c>
      <c r="C1" s="44"/>
      <c r="D1" s="44"/>
      <c r="E1" s="44"/>
      <c r="F1" s="44"/>
      <c r="G1" s="44"/>
      <c r="H1" s="44"/>
      <c r="I1" s="89"/>
      <c r="K1" s="29"/>
    </row>
    <row r="2" s="29" customFormat="1" ht="24.95" customHeight="1" spans="1:20">
      <c r="A2" s="45" t="s">
        <v>1</v>
      </c>
      <c r="B2" s="46"/>
      <c r="C2" s="47"/>
      <c r="D2" s="47"/>
      <c r="E2" s="48"/>
      <c r="F2" s="48"/>
      <c r="G2" s="49"/>
      <c r="H2" s="50"/>
      <c r="I2" s="90"/>
      <c r="J2" s="28"/>
      <c r="L2" s="28"/>
      <c r="M2" s="28"/>
      <c r="N2" s="28"/>
      <c r="O2" s="28"/>
      <c r="P2" s="28"/>
      <c r="Q2" s="28"/>
      <c r="R2" s="28"/>
      <c r="S2" s="28"/>
      <c r="T2" s="28"/>
    </row>
    <row r="3" s="29" customFormat="1" ht="24.95" customHeight="1" spans="1:20">
      <c r="A3" s="51" t="s">
        <v>2</v>
      </c>
      <c r="B3" s="52"/>
      <c r="C3" s="53" t="s">
        <v>3</v>
      </c>
      <c r="D3" s="54">
        <v>0.05</v>
      </c>
      <c r="E3" s="55" t="s">
        <v>4</v>
      </c>
      <c r="F3" s="55"/>
      <c r="G3" s="55"/>
      <c r="H3" s="55"/>
      <c r="I3" s="91"/>
      <c r="J3" s="28"/>
      <c r="L3" s="28"/>
      <c r="M3" s="28"/>
      <c r="N3" s="28"/>
      <c r="O3" s="28"/>
      <c r="P3" s="28"/>
      <c r="Q3" s="28"/>
      <c r="R3" s="28"/>
      <c r="S3" s="28"/>
      <c r="T3" s="28"/>
    </row>
    <row r="4" s="29" customFormat="1" ht="24.95" customHeight="1" spans="1:20">
      <c r="A4" s="51"/>
      <c r="B4" s="52"/>
      <c r="C4" s="56" t="s">
        <v>5</v>
      </c>
      <c r="D4" s="57">
        <v>0.2288</v>
      </c>
      <c r="E4" s="55"/>
      <c r="F4" s="55"/>
      <c r="G4" s="55"/>
      <c r="H4" s="55"/>
      <c r="I4" s="91"/>
      <c r="J4" s="28"/>
      <c r="L4" s="28"/>
      <c r="M4" s="28"/>
      <c r="N4" s="28"/>
      <c r="O4" s="28"/>
      <c r="P4" s="28"/>
      <c r="Q4" s="28"/>
      <c r="R4" s="28"/>
      <c r="S4" s="28"/>
      <c r="T4" s="28"/>
    </row>
    <row r="5" s="29" customFormat="1" spans="1:20">
      <c r="A5" s="51"/>
      <c r="B5" s="52"/>
      <c r="C5" s="56" t="s">
        <v>6</v>
      </c>
      <c r="D5" s="57">
        <v>0.2493</v>
      </c>
      <c r="E5" s="55"/>
      <c r="F5" s="55"/>
      <c r="G5" s="55"/>
      <c r="H5" s="55"/>
      <c r="I5" s="91"/>
      <c r="J5" s="28"/>
      <c r="L5" s="28"/>
      <c r="M5" s="28"/>
      <c r="N5" s="28"/>
      <c r="O5" s="28"/>
      <c r="P5" s="28"/>
      <c r="Q5" s="28"/>
      <c r="R5" s="28"/>
      <c r="S5" s="28"/>
      <c r="T5" s="28"/>
    </row>
    <row r="6" s="28" customFormat="1" ht="26.25" customHeight="1" spans="1:11">
      <c r="A6" s="58" t="s">
        <v>7</v>
      </c>
      <c r="B6" s="59" t="s">
        <v>8</v>
      </c>
      <c r="C6" s="59" t="s">
        <v>9</v>
      </c>
      <c r="D6" s="60" t="s">
        <v>10</v>
      </c>
      <c r="E6" s="60"/>
      <c r="F6" s="60"/>
      <c r="G6" s="60">
        <f>G636</f>
        <v>711191.99270288</v>
      </c>
      <c r="H6" s="59" t="s">
        <v>11</v>
      </c>
      <c r="I6" s="92"/>
      <c r="K6" s="29"/>
    </row>
    <row r="7" s="30" customFormat="1" ht="37.5" customHeight="1" spans="1:20">
      <c r="A7" s="58"/>
      <c r="B7" s="59"/>
      <c r="C7" s="59"/>
      <c r="D7" s="59" t="s">
        <v>12</v>
      </c>
      <c r="E7" s="61" t="s">
        <v>13</v>
      </c>
      <c r="F7" s="61" t="s">
        <v>14</v>
      </c>
      <c r="G7" s="59" t="s">
        <v>15</v>
      </c>
      <c r="H7" s="59" t="s">
        <v>16</v>
      </c>
      <c r="I7" s="92"/>
      <c r="J7" s="28"/>
      <c r="K7" s="29"/>
      <c r="L7" s="28"/>
      <c r="M7" s="28"/>
      <c r="N7" s="28"/>
      <c r="O7" s="28"/>
      <c r="P7" s="28"/>
      <c r="Q7" s="28"/>
      <c r="R7" s="28"/>
      <c r="S7" s="28"/>
      <c r="T7" s="28"/>
    </row>
    <row r="8" s="31" customFormat="1" spans="1:20">
      <c r="A8" s="62" t="s">
        <v>17</v>
      </c>
      <c r="B8" s="63" t="s">
        <v>18</v>
      </c>
      <c r="C8" s="64"/>
      <c r="D8" s="65"/>
      <c r="E8" s="66"/>
      <c r="F8" s="66"/>
      <c r="G8" s="67"/>
      <c r="H8" s="68"/>
      <c r="I8" s="93"/>
      <c r="J8" s="28"/>
      <c r="K8" s="29"/>
      <c r="L8" s="28"/>
      <c r="M8" s="28"/>
      <c r="N8" s="28"/>
      <c r="O8" s="28"/>
      <c r="P8" s="28"/>
      <c r="Q8" s="28"/>
      <c r="R8" s="28"/>
      <c r="S8" s="28"/>
      <c r="T8" s="28"/>
    </row>
    <row r="9" s="31" customFormat="1" ht="31.5" spans="1:20">
      <c r="A9" s="69" t="s">
        <v>19</v>
      </c>
      <c r="B9" s="70" t="s">
        <v>20</v>
      </c>
      <c r="C9" s="71" t="s">
        <v>21</v>
      </c>
      <c r="D9" s="72">
        <f>28*18</f>
        <v>504</v>
      </c>
      <c r="E9" s="72">
        <v>8.94</v>
      </c>
      <c r="F9" s="72">
        <f>IF(E9="","",TRUNC(E9+(E9*$D$4),2))</f>
        <v>10.98</v>
      </c>
      <c r="G9" s="73">
        <f>D9*F9</f>
        <v>5533.92</v>
      </c>
      <c r="H9" s="74" t="s">
        <v>22</v>
      </c>
      <c r="I9" s="94" t="s">
        <v>23</v>
      </c>
      <c r="J9" s="28"/>
      <c r="K9" s="29"/>
      <c r="L9" s="28"/>
      <c r="M9" s="28"/>
      <c r="N9" s="28"/>
      <c r="O9" s="28"/>
      <c r="P9" s="28"/>
      <c r="Q9" s="28"/>
      <c r="R9" s="28"/>
      <c r="S9" s="28"/>
      <c r="T9" s="28"/>
    </row>
    <row r="10" s="31" customFormat="1" ht="93.75" customHeight="1" spans="1:20">
      <c r="A10" s="69"/>
      <c r="B10" s="75" t="s">
        <v>24</v>
      </c>
      <c r="C10" s="71"/>
      <c r="D10" s="72"/>
      <c r="E10" s="72"/>
      <c r="F10" s="72"/>
      <c r="G10" s="73"/>
      <c r="H10" s="76"/>
      <c r="I10" s="95"/>
      <c r="J10" s="28"/>
      <c r="K10" s="29"/>
      <c r="L10" s="28"/>
      <c r="M10" s="28"/>
      <c r="N10" s="28"/>
      <c r="O10" s="28"/>
      <c r="P10" s="28"/>
      <c r="Q10" s="28"/>
      <c r="R10" s="28"/>
      <c r="S10" s="28"/>
      <c r="T10" s="28"/>
    </row>
    <row r="11" s="31" customFormat="1" spans="1:20">
      <c r="A11" s="69"/>
      <c r="B11" s="75"/>
      <c r="C11" s="71"/>
      <c r="D11" s="72"/>
      <c r="E11" s="72"/>
      <c r="F11" s="72"/>
      <c r="G11" s="73"/>
      <c r="H11" s="77"/>
      <c r="I11" s="94"/>
      <c r="J11" s="28"/>
      <c r="K11" s="29"/>
      <c r="L11" s="28"/>
      <c r="M11" s="28"/>
      <c r="N11" s="28"/>
      <c r="O11" s="28"/>
      <c r="P11" s="28"/>
      <c r="Q11" s="28"/>
      <c r="R11" s="28"/>
      <c r="S11" s="28"/>
      <c r="T11" s="28"/>
    </row>
    <row r="12" s="31" customFormat="1" spans="1:20">
      <c r="A12" s="69"/>
      <c r="B12" s="75"/>
      <c r="C12" s="71"/>
      <c r="D12" s="72"/>
      <c r="E12" s="72"/>
      <c r="F12" s="72"/>
      <c r="G12" s="73"/>
      <c r="H12" s="77"/>
      <c r="I12" s="94"/>
      <c r="J12" s="28"/>
      <c r="K12" s="29"/>
      <c r="L12" s="28"/>
      <c r="M12" s="28"/>
      <c r="N12" s="28"/>
      <c r="O12" s="28"/>
      <c r="P12" s="28"/>
      <c r="Q12" s="28"/>
      <c r="R12" s="28"/>
      <c r="S12" s="28"/>
      <c r="T12" s="28"/>
    </row>
    <row r="13" s="31" customFormat="1" ht="31.5" spans="1:20">
      <c r="A13" s="69" t="s">
        <v>25</v>
      </c>
      <c r="B13" s="78" t="s">
        <v>26</v>
      </c>
      <c r="C13" s="71" t="s">
        <v>27</v>
      </c>
      <c r="D13" s="72">
        <v>1</v>
      </c>
      <c r="E13" s="72">
        <v>1249.25</v>
      </c>
      <c r="F13" s="72">
        <f>IF(E13="","",ROUND(E13+(E13*$D$4),2))</f>
        <v>1535.08</v>
      </c>
      <c r="G13" s="73">
        <f>D13*F13</f>
        <v>1535.08</v>
      </c>
      <c r="H13" s="77">
        <v>1</v>
      </c>
      <c r="I13" s="94" t="s">
        <v>28</v>
      </c>
      <c r="J13" s="28"/>
      <c r="K13" s="29"/>
      <c r="L13" s="28"/>
      <c r="M13" s="28"/>
      <c r="N13" s="28"/>
      <c r="O13" s="28"/>
      <c r="P13" s="28"/>
      <c r="Q13" s="28"/>
      <c r="R13" s="28"/>
      <c r="S13" s="28"/>
      <c r="T13" s="28"/>
    </row>
    <row r="14" s="31" customFormat="1" ht="126" spans="1:20">
      <c r="A14" s="69"/>
      <c r="B14" s="75" t="s">
        <v>29</v>
      </c>
      <c r="C14" s="71"/>
      <c r="D14" s="72"/>
      <c r="E14" s="72"/>
      <c r="F14" s="72"/>
      <c r="G14" s="73"/>
      <c r="H14" s="79"/>
      <c r="I14" s="96"/>
      <c r="J14" s="28"/>
      <c r="K14" s="29"/>
      <c r="L14" s="28"/>
      <c r="M14" s="28"/>
      <c r="N14" s="28"/>
      <c r="O14" s="28"/>
      <c r="P14" s="28"/>
      <c r="Q14" s="28"/>
      <c r="R14" s="28"/>
      <c r="S14" s="28"/>
      <c r="T14" s="28"/>
    </row>
    <row r="15" s="31" customFormat="1" spans="1:20">
      <c r="A15" s="69"/>
      <c r="B15" s="70"/>
      <c r="C15" s="71"/>
      <c r="D15" s="72"/>
      <c r="E15" s="72"/>
      <c r="F15" s="72"/>
      <c r="G15" s="73"/>
      <c r="H15" s="77"/>
      <c r="I15" s="94"/>
      <c r="J15" s="28"/>
      <c r="K15" s="29"/>
      <c r="L15" s="28"/>
      <c r="M15" s="28"/>
      <c r="N15" s="28"/>
      <c r="O15" s="28"/>
      <c r="P15" s="28"/>
      <c r="Q15" s="28"/>
      <c r="R15" s="28"/>
      <c r="S15" s="28"/>
      <c r="T15" s="28"/>
    </row>
    <row r="16" s="31" customFormat="1" ht="31.5" spans="1:20">
      <c r="A16" s="69" t="s">
        <v>30</v>
      </c>
      <c r="B16" s="70" t="s">
        <v>31</v>
      </c>
      <c r="C16" s="71" t="s">
        <v>32</v>
      </c>
      <c r="D16" s="72">
        <f>31*21+3*3</f>
        <v>660</v>
      </c>
      <c r="E16" s="72">
        <v>1.2</v>
      </c>
      <c r="F16" s="72">
        <f>IF(E16="","",ROUND(E16+(E16*$D$4),2))</f>
        <v>1.47</v>
      </c>
      <c r="G16" s="73">
        <f>D16*F16</f>
        <v>970.2</v>
      </c>
      <c r="H16" s="77" t="s">
        <v>33</v>
      </c>
      <c r="I16" s="94" t="s">
        <v>34</v>
      </c>
      <c r="J16" s="28"/>
      <c r="K16" s="29"/>
      <c r="L16" s="28"/>
      <c r="M16" s="28"/>
      <c r="N16" s="28"/>
      <c r="O16" s="28"/>
      <c r="P16" s="28"/>
      <c r="Q16" s="28"/>
      <c r="R16" s="28"/>
      <c r="S16" s="28"/>
      <c r="T16" s="28"/>
    </row>
    <row r="17" s="31" customFormat="1" ht="126" spans="1:20">
      <c r="A17" s="69"/>
      <c r="B17" s="75" t="s">
        <v>35</v>
      </c>
      <c r="C17" s="71"/>
      <c r="D17" s="72"/>
      <c r="E17" s="72"/>
      <c r="F17" s="72"/>
      <c r="G17" s="73"/>
      <c r="H17" s="80"/>
      <c r="I17" s="97"/>
      <c r="J17" s="28"/>
      <c r="K17" s="29"/>
      <c r="L17" s="28"/>
      <c r="M17" s="28"/>
      <c r="N17" s="28"/>
      <c r="O17" s="28"/>
      <c r="P17" s="28"/>
      <c r="Q17" s="28"/>
      <c r="R17" s="28"/>
      <c r="S17" s="28"/>
      <c r="T17" s="28"/>
    </row>
    <row r="18" s="31" customFormat="1" spans="1:20">
      <c r="A18" s="69"/>
      <c r="B18" s="70"/>
      <c r="C18" s="71"/>
      <c r="D18" s="72"/>
      <c r="E18" s="72"/>
      <c r="F18" s="72"/>
      <c r="G18" s="73"/>
      <c r="H18" s="77"/>
      <c r="I18" s="94"/>
      <c r="J18" s="28"/>
      <c r="K18" s="29"/>
      <c r="L18" s="28"/>
      <c r="M18" s="28"/>
      <c r="N18" s="28"/>
      <c r="O18" s="28"/>
      <c r="P18" s="28"/>
      <c r="Q18" s="28"/>
      <c r="R18" s="28"/>
      <c r="S18" s="28"/>
      <c r="T18" s="28"/>
    </row>
    <row r="19" s="31" customFormat="1" spans="1:20">
      <c r="A19" s="69"/>
      <c r="B19" s="70"/>
      <c r="C19" s="71"/>
      <c r="D19" s="72"/>
      <c r="E19" s="72"/>
      <c r="F19" s="72"/>
      <c r="G19" s="73"/>
      <c r="H19" s="77"/>
      <c r="I19" s="94"/>
      <c r="J19" s="28"/>
      <c r="K19" s="29"/>
      <c r="L19" s="28"/>
      <c r="M19" s="28"/>
      <c r="N19" s="28"/>
      <c r="O19" s="28"/>
      <c r="P19" s="28"/>
      <c r="Q19" s="28"/>
      <c r="R19" s="28"/>
      <c r="S19" s="28"/>
      <c r="T19" s="28"/>
    </row>
    <row r="20" s="31" customFormat="1" spans="1:20">
      <c r="A20" s="69"/>
      <c r="B20" s="70"/>
      <c r="C20" s="71"/>
      <c r="D20" s="72"/>
      <c r="E20" s="72"/>
      <c r="F20" s="72"/>
      <c r="G20" s="73"/>
      <c r="H20" s="77"/>
      <c r="I20" s="94"/>
      <c r="J20" s="28"/>
      <c r="K20" s="29"/>
      <c r="L20" s="28"/>
      <c r="M20" s="28"/>
      <c r="N20" s="28"/>
      <c r="O20" s="28"/>
      <c r="P20" s="28"/>
      <c r="Q20" s="28"/>
      <c r="R20" s="28"/>
      <c r="S20" s="28"/>
      <c r="T20" s="28"/>
    </row>
    <row r="21" s="31" customFormat="1" spans="1:20">
      <c r="A21" s="69"/>
      <c r="B21" s="70"/>
      <c r="C21" s="71"/>
      <c r="D21" s="72"/>
      <c r="E21" s="72"/>
      <c r="F21" s="72"/>
      <c r="G21" s="73"/>
      <c r="H21" s="77"/>
      <c r="I21" s="94"/>
      <c r="J21" s="28"/>
      <c r="K21" s="29"/>
      <c r="L21" s="28"/>
      <c r="M21" s="28"/>
      <c r="N21" s="28"/>
      <c r="O21" s="28"/>
      <c r="P21" s="28"/>
      <c r="Q21" s="28"/>
      <c r="R21" s="28"/>
      <c r="S21" s="28"/>
      <c r="T21" s="28"/>
    </row>
    <row r="22" s="31" customFormat="1" spans="1:20">
      <c r="A22" s="69"/>
      <c r="B22" s="70"/>
      <c r="C22" s="71"/>
      <c r="D22" s="72"/>
      <c r="E22" s="72"/>
      <c r="F22" s="72"/>
      <c r="G22" s="73"/>
      <c r="H22" s="77"/>
      <c r="I22" s="94"/>
      <c r="J22" s="28"/>
      <c r="K22" s="29"/>
      <c r="L22" s="28"/>
      <c r="M22" s="28"/>
      <c r="N22" s="28"/>
      <c r="O22" s="28"/>
      <c r="P22" s="28"/>
      <c r="Q22" s="28"/>
      <c r="R22" s="28"/>
      <c r="S22" s="28"/>
      <c r="T22" s="28"/>
    </row>
    <row r="23" s="31" customFormat="1" spans="1:20">
      <c r="A23" s="69"/>
      <c r="B23" s="70"/>
      <c r="C23" s="71"/>
      <c r="D23" s="72"/>
      <c r="E23" s="72"/>
      <c r="F23" s="72"/>
      <c r="G23" s="73"/>
      <c r="H23" s="77"/>
      <c r="I23" s="94"/>
      <c r="J23" s="28"/>
      <c r="K23" s="29"/>
      <c r="L23" s="28"/>
      <c r="M23" s="28"/>
      <c r="N23" s="28"/>
      <c r="O23" s="28"/>
      <c r="P23" s="28"/>
      <c r="Q23" s="28"/>
      <c r="R23" s="28"/>
      <c r="S23" s="28"/>
      <c r="T23" s="28"/>
    </row>
    <row r="24" s="31" customFormat="1" spans="1:20">
      <c r="A24" s="69"/>
      <c r="B24" s="70"/>
      <c r="C24" s="71"/>
      <c r="D24" s="72"/>
      <c r="E24" s="72"/>
      <c r="F24" s="72"/>
      <c r="G24" s="73"/>
      <c r="H24" s="77"/>
      <c r="I24" s="94"/>
      <c r="J24" s="28"/>
      <c r="K24" s="29"/>
      <c r="L24" s="28"/>
      <c r="M24" s="28"/>
      <c r="N24" s="28"/>
      <c r="O24" s="28"/>
      <c r="P24" s="28"/>
      <c r="Q24" s="28"/>
      <c r="R24" s="28"/>
      <c r="S24" s="28"/>
      <c r="T24" s="28"/>
    </row>
    <row r="25" s="31" customFormat="1" spans="1:20">
      <c r="A25" s="69"/>
      <c r="B25" s="70"/>
      <c r="C25" s="71"/>
      <c r="D25" s="72"/>
      <c r="E25" s="72"/>
      <c r="F25" s="72"/>
      <c r="G25" s="73"/>
      <c r="H25" s="77"/>
      <c r="I25" s="94"/>
      <c r="J25" s="28"/>
      <c r="K25" s="29"/>
      <c r="L25" s="28"/>
      <c r="M25" s="28"/>
      <c r="N25" s="28"/>
      <c r="O25" s="28"/>
      <c r="P25" s="28"/>
      <c r="Q25" s="28"/>
      <c r="R25" s="28"/>
      <c r="S25" s="28"/>
      <c r="T25" s="28"/>
    </row>
    <row r="26" s="31" customFormat="1" ht="32.45" customHeight="1" spans="1:20">
      <c r="A26" s="69" t="s">
        <v>36</v>
      </c>
      <c r="B26" s="70" t="s">
        <v>37</v>
      </c>
      <c r="C26" s="71" t="s">
        <v>21</v>
      </c>
      <c r="D26" s="72">
        <f>3.3*3.3</f>
        <v>10.89</v>
      </c>
      <c r="E26" s="72">
        <v>507.47</v>
      </c>
      <c r="F26" s="72">
        <f>IF(E26="","",ROUND(E26+(E26*$D$4),2))</f>
        <v>623.58</v>
      </c>
      <c r="G26" s="73">
        <f>D26*F26</f>
        <v>6790.7862</v>
      </c>
      <c r="H26" s="77" t="s">
        <v>38</v>
      </c>
      <c r="I26" s="94" t="s">
        <v>39</v>
      </c>
      <c r="J26" s="28"/>
      <c r="K26" s="29"/>
      <c r="L26" s="28"/>
      <c r="M26" s="28"/>
      <c r="N26" s="28"/>
      <c r="O26" s="28"/>
      <c r="P26" s="28"/>
      <c r="Q26" s="28"/>
      <c r="R26" s="28"/>
      <c r="S26" s="28"/>
      <c r="T26" s="28"/>
    </row>
    <row r="27" s="31" customFormat="1" ht="220.5" spans="1:20">
      <c r="A27" s="69"/>
      <c r="B27" s="75" t="s">
        <v>40</v>
      </c>
      <c r="C27" s="71"/>
      <c r="D27" s="72"/>
      <c r="E27" s="72"/>
      <c r="F27" s="72"/>
      <c r="G27" s="73"/>
      <c r="H27" s="80"/>
      <c r="I27" s="97"/>
      <c r="J27" s="28"/>
      <c r="K27" s="29"/>
      <c r="L27" s="28"/>
      <c r="M27" s="28"/>
      <c r="N27" s="28"/>
      <c r="O27" s="28"/>
      <c r="P27" s="28"/>
      <c r="Q27" s="28"/>
      <c r="R27" s="28"/>
      <c r="S27" s="28"/>
      <c r="T27" s="28"/>
    </row>
    <row r="28" s="31" customFormat="1" spans="1:20">
      <c r="A28" s="69"/>
      <c r="B28" s="75"/>
      <c r="C28" s="71"/>
      <c r="D28" s="72"/>
      <c r="E28" s="72"/>
      <c r="F28" s="72"/>
      <c r="G28" s="73"/>
      <c r="H28" s="77"/>
      <c r="I28" s="94"/>
      <c r="J28" s="28"/>
      <c r="K28" s="29"/>
      <c r="L28" s="28"/>
      <c r="M28" s="28"/>
      <c r="N28" s="28"/>
      <c r="O28" s="28"/>
      <c r="P28" s="28"/>
      <c r="Q28" s="28"/>
      <c r="R28" s="28"/>
      <c r="S28" s="28"/>
      <c r="T28" s="28"/>
    </row>
    <row r="29" s="31" customFormat="1" ht="18" customHeight="1" spans="1:20">
      <c r="A29" s="69"/>
      <c r="B29" s="70"/>
      <c r="C29" s="81" t="s">
        <v>41</v>
      </c>
      <c r="D29" s="81"/>
      <c r="E29" s="81"/>
      <c r="F29" s="81"/>
      <c r="G29" s="82">
        <f>SUM(G9:G28)</f>
        <v>14829.9862</v>
      </c>
      <c r="H29" s="77"/>
      <c r="I29" s="94"/>
      <c r="J29" s="28"/>
      <c r="K29" s="29"/>
      <c r="L29" s="28"/>
      <c r="M29" s="28"/>
      <c r="N29" s="28"/>
      <c r="O29" s="28"/>
      <c r="P29" s="28"/>
      <c r="Q29" s="28"/>
      <c r="R29" s="28"/>
      <c r="S29" s="28"/>
      <c r="T29" s="28"/>
    </row>
    <row r="30" s="31" customFormat="1" spans="1:20">
      <c r="A30" s="69" t="s">
        <v>42</v>
      </c>
      <c r="B30" s="83" t="s">
        <v>43</v>
      </c>
      <c r="C30" s="84"/>
      <c r="D30" s="84"/>
      <c r="E30" s="72"/>
      <c r="F30" s="72"/>
      <c r="G30" s="73"/>
      <c r="H30" s="77"/>
      <c r="I30" s="94"/>
      <c r="J30" s="28"/>
      <c r="K30" s="29"/>
      <c r="L30" s="28"/>
      <c r="M30" s="28"/>
      <c r="N30" s="28"/>
      <c r="O30" s="28"/>
      <c r="P30" s="28"/>
      <c r="Q30" s="28"/>
      <c r="R30" s="28"/>
      <c r="S30" s="28"/>
      <c r="T30" s="28"/>
    </row>
    <row r="31" s="31" customFormat="1" ht="150" customHeight="1" spans="1:20">
      <c r="A31" s="69" t="s">
        <v>44</v>
      </c>
      <c r="B31" s="70" t="s">
        <v>45</v>
      </c>
      <c r="C31" s="71" t="s">
        <v>46</v>
      </c>
      <c r="D31" s="85">
        <f>31*1.5*2*0.05+18*2*0.05+(2.35+1.36)*1.36*0.25+3.89*1.36*0.44</f>
        <v>10.039176</v>
      </c>
      <c r="E31" s="72">
        <v>61.26</v>
      </c>
      <c r="F31" s="72">
        <f>IF(E31="","",ROUND(E31+(E31*$D$4),2))</f>
        <v>75.28</v>
      </c>
      <c r="G31" s="73">
        <f>D31*F31</f>
        <v>755.74916928</v>
      </c>
      <c r="H31" s="77" t="s">
        <v>47</v>
      </c>
      <c r="I31" s="94" t="s">
        <v>48</v>
      </c>
      <c r="J31" s="28"/>
      <c r="K31" s="29"/>
      <c r="L31" s="28"/>
      <c r="M31" s="28"/>
      <c r="N31" s="28"/>
      <c r="O31" s="28"/>
      <c r="P31" s="28"/>
      <c r="Q31" s="28"/>
      <c r="R31" s="28"/>
      <c r="S31" s="28"/>
      <c r="T31" s="28"/>
    </row>
    <row r="32" s="31" customFormat="1" ht="63" spans="1:20">
      <c r="A32" s="69"/>
      <c r="B32" s="75" t="s">
        <v>49</v>
      </c>
      <c r="C32" s="71"/>
      <c r="D32" s="85"/>
      <c r="E32" s="72"/>
      <c r="F32" s="72"/>
      <c r="G32" s="73"/>
      <c r="H32" s="77"/>
      <c r="I32" s="94"/>
      <c r="J32" s="28"/>
      <c r="K32" s="29"/>
      <c r="L32" s="28"/>
      <c r="M32" s="28"/>
      <c r="N32" s="28"/>
      <c r="O32" s="28"/>
      <c r="P32" s="28"/>
      <c r="Q32" s="28"/>
      <c r="R32" s="28"/>
      <c r="S32" s="28"/>
      <c r="T32" s="28"/>
    </row>
    <row r="33" s="31" customFormat="1" spans="1:20">
      <c r="A33" s="69"/>
      <c r="B33" s="75"/>
      <c r="C33" s="71"/>
      <c r="D33" s="85"/>
      <c r="E33" s="72"/>
      <c r="F33" s="72"/>
      <c r="G33" s="73"/>
      <c r="H33" s="77"/>
      <c r="I33" s="94"/>
      <c r="J33" s="28"/>
      <c r="K33" s="29"/>
      <c r="L33" s="28"/>
      <c r="M33" s="28"/>
      <c r="N33" s="28"/>
      <c r="O33" s="28"/>
      <c r="P33" s="28"/>
      <c r="Q33" s="28"/>
      <c r="R33" s="28"/>
      <c r="S33" s="28"/>
      <c r="T33" s="28"/>
    </row>
    <row r="34" s="31" customFormat="1" spans="1:20">
      <c r="A34" s="69"/>
      <c r="B34" s="75"/>
      <c r="C34" s="71"/>
      <c r="D34" s="85"/>
      <c r="E34" s="72"/>
      <c r="F34" s="72"/>
      <c r="G34" s="73"/>
      <c r="H34" s="77"/>
      <c r="I34" s="94"/>
      <c r="J34" s="28"/>
      <c r="K34" s="29"/>
      <c r="L34" s="28"/>
      <c r="M34" s="28"/>
      <c r="N34" s="28"/>
      <c r="O34" s="28"/>
      <c r="P34" s="28"/>
      <c r="Q34" s="28"/>
      <c r="R34" s="28"/>
      <c r="S34" s="28"/>
      <c r="T34" s="28"/>
    </row>
    <row r="35" s="31" customFormat="1" spans="1:20">
      <c r="A35" s="69"/>
      <c r="B35" s="75"/>
      <c r="C35" s="71"/>
      <c r="D35" s="85"/>
      <c r="E35" s="72"/>
      <c r="F35" s="72"/>
      <c r="G35" s="73"/>
      <c r="H35" s="77"/>
      <c r="I35" s="94"/>
      <c r="J35" s="28"/>
      <c r="K35" s="29"/>
      <c r="L35" s="28"/>
      <c r="M35" s="28"/>
      <c r="N35" s="28"/>
      <c r="O35" s="28"/>
      <c r="P35" s="28"/>
      <c r="Q35" s="28"/>
      <c r="R35" s="28"/>
      <c r="S35" s="28"/>
      <c r="T35" s="28"/>
    </row>
    <row r="36" s="31" customFormat="1" spans="1:20">
      <c r="A36" s="69"/>
      <c r="B36" s="75"/>
      <c r="C36" s="71"/>
      <c r="D36" s="85"/>
      <c r="E36" s="72"/>
      <c r="F36" s="72"/>
      <c r="G36" s="73"/>
      <c r="H36" s="77"/>
      <c r="I36" s="94"/>
      <c r="J36" s="28"/>
      <c r="K36" s="29"/>
      <c r="L36" s="28"/>
      <c r="M36" s="28"/>
      <c r="N36" s="28"/>
      <c r="O36" s="28"/>
      <c r="P36" s="28"/>
      <c r="Q36" s="28"/>
      <c r="R36" s="28"/>
      <c r="S36" s="28"/>
      <c r="T36" s="28"/>
    </row>
    <row r="37" s="31" customFormat="1" spans="1:20">
      <c r="A37" s="69"/>
      <c r="B37" s="75"/>
      <c r="C37" s="71"/>
      <c r="D37" s="85"/>
      <c r="E37" s="72"/>
      <c r="F37" s="72"/>
      <c r="G37" s="73"/>
      <c r="H37" s="77"/>
      <c r="I37" s="94"/>
      <c r="J37" s="28"/>
      <c r="K37" s="29"/>
      <c r="L37" s="28"/>
      <c r="M37" s="28"/>
      <c r="N37" s="28"/>
      <c r="O37" s="28"/>
      <c r="P37" s="28"/>
      <c r="Q37" s="28"/>
      <c r="R37" s="28"/>
      <c r="S37" s="28"/>
      <c r="T37" s="28"/>
    </row>
    <row r="38" s="31" customFormat="1" spans="1:20">
      <c r="A38" s="69"/>
      <c r="B38" s="70"/>
      <c r="C38" s="71"/>
      <c r="D38" s="85"/>
      <c r="E38" s="72"/>
      <c r="F38" s="72"/>
      <c r="G38" s="73"/>
      <c r="H38" s="77"/>
      <c r="I38" s="94"/>
      <c r="J38" s="28"/>
      <c r="K38" s="29"/>
      <c r="L38" s="28"/>
      <c r="M38" s="28"/>
      <c r="N38" s="28"/>
      <c r="O38" s="28"/>
      <c r="P38" s="28"/>
      <c r="Q38" s="28"/>
      <c r="R38" s="28"/>
      <c r="S38" s="28"/>
      <c r="T38" s="28"/>
    </row>
    <row r="39" s="31" customFormat="1" ht="206.25" spans="1:20">
      <c r="A39" s="69" t="s">
        <v>50</v>
      </c>
      <c r="B39" s="70" t="s">
        <v>51</v>
      </c>
      <c r="C39" s="71" t="s">
        <v>46</v>
      </c>
      <c r="D39" s="72">
        <f>28*0.25*0.46*2+18*0.25*0.46*2+(18.6+3.02)*0.25*0.46*2+(4.46+2.25+2.41+2.25+2.41+0.2)*0.25*0.46+0.4*0.25*0.46*2+15.4*0.25*0.46*2+1.1*0.25*0.4*2+(3.75+1.66)*0.25*0.46+(2.58+3.74)*0.25*0.46+1.24*0.25*0.46+4.7*0.25*0.46+(2.11*2+0.18*3)*0.25*0.46+1.82*0.25*0.46+0.75*0.75*0.8*14+0.45*0.45*0.46*15</f>
        <v>31.5003</v>
      </c>
      <c r="E39" s="72">
        <v>61.26</v>
      </c>
      <c r="F39" s="72">
        <f>IF(E39="","",TRUNC(E39+(E39*$D$4),2))</f>
        <v>75.27</v>
      </c>
      <c r="G39" s="73">
        <f>D39*F39</f>
        <v>2371.027581</v>
      </c>
      <c r="H39" s="72" t="s">
        <v>52</v>
      </c>
      <c r="I39" s="94" t="s">
        <v>53</v>
      </c>
      <c r="J39" s="28"/>
      <c r="K39" s="29"/>
      <c r="L39" s="28"/>
      <c r="M39" s="28"/>
      <c r="N39" s="28"/>
      <c r="O39" s="28"/>
      <c r="P39" s="28"/>
      <c r="Q39" s="28"/>
      <c r="R39" s="28"/>
      <c r="S39" s="28"/>
      <c r="T39" s="28"/>
    </row>
    <row r="40" s="31" customFormat="1" ht="71.25" customHeight="1" spans="1:20">
      <c r="A40" s="69"/>
      <c r="B40" s="75" t="s">
        <v>54</v>
      </c>
      <c r="C40" s="71"/>
      <c r="D40" s="72"/>
      <c r="E40" s="72"/>
      <c r="F40" s="72"/>
      <c r="G40" s="73"/>
      <c r="H40" s="77"/>
      <c r="I40" s="94"/>
      <c r="J40" s="28"/>
      <c r="K40" s="29"/>
      <c r="L40" s="28"/>
      <c r="M40" s="28"/>
      <c r="N40" s="28"/>
      <c r="O40" s="28"/>
      <c r="P40" s="28"/>
      <c r="Q40" s="28"/>
      <c r="R40" s="28"/>
      <c r="S40" s="28"/>
      <c r="T40" s="28"/>
    </row>
    <row r="41" s="31" customFormat="1" spans="1:20">
      <c r="A41" s="69"/>
      <c r="B41" s="70"/>
      <c r="C41" s="71"/>
      <c r="D41" s="72"/>
      <c r="E41" s="72"/>
      <c r="F41" s="72"/>
      <c r="G41" s="73"/>
      <c r="H41" s="77"/>
      <c r="I41" s="94"/>
      <c r="J41" s="28"/>
      <c r="K41" s="29"/>
      <c r="L41" s="28"/>
      <c r="M41" s="28"/>
      <c r="N41" s="28"/>
      <c r="O41" s="28"/>
      <c r="P41" s="28"/>
      <c r="Q41" s="28"/>
      <c r="R41" s="28"/>
      <c r="S41" s="28"/>
      <c r="T41" s="28"/>
    </row>
    <row r="42" s="31" customFormat="1" ht="31.5" spans="1:20">
      <c r="A42" s="69" t="s">
        <v>55</v>
      </c>
      <c r="B42" s="70" t="s">
        <v>56</v>
      </c>
      <c r="C42" s="71" t="s">
        <v>46</v>
      </c>
      <c r="D42" s="72">
        <f>3.14*1.3*1.3*1.7</f>
        <v>9.02122</v>
      </c>
      <c r="E42" s="72">
        <v>36.04</v>
      </c>
      <c r="F42" s="72">
        <f>IF(E42="","",ROUND(E42+(E42*$D$4),2))</f>
        <v>44.29</v>
      </c>
      <c r="G42" s="73">
        <f>D42*F42</f>
        <v>399.5498338</v>
      </c>
      <c r="H42" s="77" t="s">
        <v>57</v>
      </c>
      <c r="I42" s="94" t="s">
        <v>58</v>
      </c>
      <c r="J42" s="28"/>
      <c r="K42" s="29"/>
      <c r="L42" s="28"/>
      <c r="M42" s="28"/>
      <c r="N42" s="28"/>
      <c r="O42" s="28"/>
      <c r="P42" s="28"/>
      <c r="Q42" s="28"/>
      <c r="R42" s="28"/>
      <c r="S42" s="28"/>
      <c r="T42" s="28"/>
    </row>
    <row r="43" s="31" customFormat="1" ht="47.25" spans="1:20">
      <c r="A43" s="69"/>
      <c r="B43" s="75" t="s">
        <v>59</v>
      </c>
      <c r="C43" s="71"/>
      <c r="D43" s="72"/>
      <c r="E43" s="72"/>
      <c r="F43" s="72"/>
      <c r="G43" s="73"/>
      <c r="H43" s="77"/>
      <c r="I43" s="94"/>
      <c r="J43" s="28"/>
      <c r="K43" s="29"/>
      <c r="L43" s="28"/>
      <c r="M43" s="28"/>
      <c r="N43" s="28"/>
      <c r="O43" s="28"/>
      <c r="P43" s="28"/>
      <c r="Q43" s="28"/>
      <c r="R43" s="28"/>
      <c r="S43" s="28"/>
      <c r="T43" s="28"/>
    </row>
    <row r="44" s="31" customFormat="1" spans="1:20">
      <c r="A44" s="69"/>
      <c r="B44" s="70"/>
      <c r="C44" s="71"/>
      <c r="D44" s="72"/>
      <c r="E44" s="72"/>
      <c r="F44" s="72"/>
      <c r="G44" s="73"/>
      <c r="H44" s="77"/>
      <c r="I44" s="94"/>
      <c r="J44" s="28"/>
      <c r="K44" s="29"/>
      <c r="L44" s="28"/>
      <c r="M44" s="28"/>
      <c r="N44" s="28"/>
      <c r="O44" s="28"/>
      <c r="P44" s="28"/>
      <c r="Q44" s="28"/>
      <c r="R44" s="28"/>
      <c r="S44" s="28"/>
      <c r="T44" s="28"/>
    </row>
    <row r="45" s="31" customFormat="1" spans="1:20">
      <c r="A45" s="69"/>
      <c r="B45" s="70"/>
      <c r="C45" s="71"/>
      <c r="D45" s="72"/>
      <c r="E45" s="72"/>
      <c r="F45" s="72"/>
      <c r="G45" s="73"/>
      <c r="H45" s="77"/>
      <c r="I45" s="94"/>
      <c r="J45" s="28"/>
      <c r="K45" s="29"/>
      <c r="L45" s="28"/>
      <c r="M45" s="28"/>
      <c r="N45" s="28"/>
      <c r="O45" s="28"/>
      <c r="P45" s="28"/>
      <c r="Q45" s="28"/>
      <c r="R45" s="28"/>
      <c r="S45" s="28"/>
      <c r="T45" s="28"/>
    </row>
    <row r="46" s="31" customFormat="1" ht="126" spans="1:20">
      <c r="A46" s="69" t="s">
        <v>60</v>
      </c>
      <c r="B46" s="70" t="s">
        <v>61</v>
      </c>
      <c r="C46" s="71" t="s">
        <v>46</v>
      </c>
      <c r="D46" s="72">
        <f>28*0.05*0.4*2+18*0.05*0.4*2+(18.6+3.02)*0.05*0.4*2+(4.46+2.25+2.41+2.25+2.41+0.2)*0.05*0.4+0.4*0.05*0.4*2+15.4*0.05*0.4*2+1.1*0.05*0.4*2+(3.75+1.66)*0.05*0.4+(2.58+3.74)*0.05*0.4+1.24*0.05*0.4+4.7*0.05*0.4+(2.11*2+0.18*3)*0.05*0.4+1.82*0.05*0.4+14*0.05*0.05*0.7+15*0.05*0.05*0.4</f>
        <v>4.1849</v>
      </c>
      <c r="E46" s="72">
        <v>61.26</v>
      </c>
      <c r="F46" s="72">
        <f>IF(E46="","",ROUND(E46+(E46*$D$4),2))</f>
        <v>75.28</v>
      </c>
      <c r="G46" s="73">
        <f>D46*F46</f>
        <v>315.039272</v>
      </c>
      <c r="H46" s="77" t="s">
        <v>62</v>
      </c>
      <c r="I46" s="94" t="s">
        <v>53</v>
      </c>
      <c r="J46" s="28"/>
      <c r="K46" s="29"/>
      <c r="L46" s="28"/>
      <c r="M46" s="28"/>
      <c r="N46" s="28"/>
      <c r="O46" s="28"/>
      <c r="P46" s="28"/>
      <c r="Q46" s="28"/>
      <c r="R46" s="28"/>
      <c r="S46" s="28"/>
      <c r="T46" s="28"/>
    </row>
    <row r="47" s="31" customFormat="1" ht="46.5" customHeight="1" spans="1:20">
      <c r="A47" s="69"/>
      <c r="B47" s="75" t="s">
        <v>63</v>
      </c>
      <c r="C47" s="71"/>
      <c r="D47" s="72"/>
      <c r="E47" s="72"/>
      <c r="F47" s="72"/>
      <c r="G47" s="73"/>
      <c r="H47" s="77"/>
      <c r="I47" s="94"/>
      <c r="J47" s="28"/>
      <c r="K47" s="29"/>
      <c r="L47" s="28"/>
      <c r="M47" s="28"/>
      <c r="N47" s="28"/>
      <c r="O47" s="28"/>
      <c r="P47" s="28"/>
      <c r="Q47" s="28"/>
      <c r="R47" s="28"/>
      <c r="S47" s="28"/>
      <c r="T47" s="28"/>
    </row>
    <row r="48" s="31" customFormat="1" spans="1:20">
      <c r="A48" s="69"/>
      <c r="B48" s="70"/>
      <c r="C48" s="71"/>
      <c r="D48" s="72"/>
      <c r="E48" s="72"/>
      <c r="F48" s="72"/>
      <c r="G48" s="73"/>
      <c r="H48" s="77"/>
      <c r="I48" s="94"/>
      <c r="J48" s="28"/>
      <c r="K48" s="29"/>
      <c r="L48" s="28"/>
      <c r="M48" s="28"/>
      <c r="N48" s="28"/>
      <c r="O48" s="28"/>
      <c r="P48" s="28"/>
      <c r="Q48" s="28"/>
      <c r="R48" s="28"/>
      <c r="S48" s="28"/>
      <c r="T48" s="28"/>
    </row>
    <row r="49" s="31" customFormat="1" spans="1:20">
      <c r="A49" s="69"/>
      <c r="B49" s="70"/>
      <c r="C49" s="71"/>
      <c r="D49" s="72"/>
      <c r="E49" s="72"/>
      <c r="F49" s="72"/>
      <c r="G49" s="73"/>
      <c r="H49" s="77"/>
      <c r="I49" s="94"/>
      <c r="J49" s="28"/>
      <c r="K49" s="29"/>
      <c r="L49" s="28"/>
      <c r="M49" s="28"/>
      <c r="N49" s="28"/>
      <c r="O49" s="28"/>
      <c r="P49" s="28"/>
      <c r="Q49" s="28"/>
      <c r="R49" s="28"/>
      <c r="S49" s="28"/>
      <c r="T49" s="28"/>
    </row>
    <row r="50" s="31" customFormat="1" spans="1:20">
      <c r="A50" s="69"/>
      <c r="B50" s="70"/>
      <c r="C50" s="71"/>
      <c r="D50" s="72"/>
      <c r="E50" s="72"/>
      <c r="F50" s="72"/>
      <c r="G50" s="73"/>
      <c r="H50" s="77"/>
      <c r="I50" s="94"/>
      <c r="J50" s="28"/>
      <c r="K50" s="29"/>
      <c r="L50" s="28"/>
      <c r="M50" s="28"/>
      <c r="N50" s="28"/>
      <c r="O50" s="28"/>
      <c r="P50" s="28"/>
      <c r="Q50" s="28"/>
      <c r="R50" s="28"/>
      <c r="S50" s="28"/>
      <c r="T50" s="28"/>
    </row>
    <row r="51" s="31" customFormat="1" spans="1:20">
      <c r="A51" s="69"/>
      <c r="B51" s="70"/>
      <c r="C51" s="71"/>
      <c r="D51" s="72"/>
      <c r="E51" s="72"/>
      <c r="F51" s="72"/>
      <c r="G51" s="73"/>
      <c r="H51" s="77"/>
      <c r="I51" s="94"/>
      <c r="J51" s="28"/>
      <c r="K51" s="29"/>
      <c r="L51" s="28"/>
      <c r="M51" s="28"/>
      <c r="N51" s="28"/>
      <c r="O51" s="28"/>
      <c r="P51" s="28"/>
      <c r="Q51" s="28"/>
      <c r="R51" s="28"/>
      <c r="S51" s="28"/>
      <c r="T51" s="28"/>
    </row>
    <row r="52" s="31" customFormat="1" ht="31.5" spans="1:20">
      <c r="A52" s="69" t="s">
        <v>64</v>
      </c>
      <c r="B52" s="70" t="s">
        <v>65</v>
      </c>
      <c r="C52" s="71" t="s">
        <v>46</v>
      </c>
      <c r="D52" s="72">
        <f>3.14*0.7*0.7/4*2*14</f>
        <v>10.7702</v>
      </c>
      <c r="E52" s="72">
        <v>285.07</v>
      </c>
      <c r="F52" s="72">
        <f>IF(E52="","",ROUND(E52+(E52*$D$4),2))</f>
        <v>350.29</v>
      </c>
      <c r="G52" s="73">
        <f>D52*F52</f>
        <v>3772.693358</v>
      </c>
      <c r="H52" s="77" t="s">
        <v>66</v>
      </c>
      <c r="I52" s="94" t="s">
        <v>67</v>
      </c>
      <c r="J52" s="28"/>
      <c r="K52" s="29"/>
      <c r="L52" s="28"/>
      <c r="M52" s="28"/>
      <c r="N52" s="28"/>
      <c r="O52" s="28"/>
      <c r="P52" s="28"/>
      <c r="Q52" s="28"/>
      <c r="R52" s="28"/>
      <c r="S52" s="28"/>
      <c r="T52" s="28"/>
    </row>
    <row r="53" s="31" customFormat="1" ht="78.75" spans="1:20">
      <c r="A53" s="69"/>
      <c r="B53" s="75" t="s">
        <v>68</v>
      </c>
      <c r="C53" s="71"/>
      <c r="D53" s="72"/>
      <c r="E53" s="72"/>
      <c r="F53" s="72"/>
      <c r="G53" s="73"/>
      <c r="H53" s="77"/>
      <c r="I53" s="94"/>
      <c r="J53" s="28"/>
      <c r="K53" s="29"/>
      <c r="L53" s="28"/>
      <c r="M53" s="28"/>
      <c r="N53" s="28"/>
      <c r="O53" s="28"/>
      <c r="P53" s="28"/>
      <c r="Q53" s="28"/>
      <c r="R53" s="28"/>
      <c r="S53" s="28"/>
      <c r="T53" s="28"/>
    </row>
    <row r="54" s="31" customFormat="1" spans="1:20">
      <c r="A54" s="69"/>
      <c r="B54" s="70"/>
      <c r="C54" s="71"/>
      <c r="D54" s="72"/>
      <c r="E54" s="72"/>
      <c r="F54" s="72"/>
      <c r="G54" s="73"/>
      <c r="H54" s="77"/>
      <c r="I54" s="94"/>
      <c r="J54" s="28"/>
      <c r="K54" s="29"/>
      <c r="L54" s="28"/>
      <c r="M54" s="28"/>
      <c r="N54" s="28"/>
      <c r="O54" s="28"/>
      <c r="P54" s="28"/>
      <c r="Q54" s="28"/>
      <c r="R54" s="28"/>
      <c r="S54" s="28"/>
      <c r="T54" s="28"/>
    </row>
    <row r="55" s="31" customFormat="1" ht="18" customHeight="1" spans="1:20">
      <c r="A55" s="69"/>
      <c r="B55" s="86" t="s">
        <v>69</v>
      </c>
      <c r="C55" s="81" t="s">
        <v>41</v>
      </c>
      <c r="D55" s="81"/>
      <c r="E55" s="81"/>
      <c r="F55" s="81"/>
      <c r="G55" s="82">
        <f>SUM(G31:G54)</f>
        <v>7614.05921408</v>
      </c>
      <c r="H55" s="77"/>
      <c r="I55" s="94"/>
      <c r="J55" s="28"/>
      <c r="K55" s="29"/>
      <c r="L55" s="28"/>
      <c r="M55" s="28"/>
      <c r="N55" s="28"/>
      <c r="O55" s="28"/>
      <c r="P55" s="28"/>
      <c r="Q55" s="28"/>
      <c r="R55" s="28"/>
      <c r="S55" s="28"/>
      <c r="T55" s="28"/>
    </row>
    <row r="56" s="31" customFormat="1" spans="1:20">
      <c r="A56" s="69" t="s">
        <v>70</v>
      </c>
      <c r="B56" s="83" t="s">
        <v>71</v>
      </c>
      <c r="C56" s="84"/>
      <c r="D56" s="72"/>
      <c r="E56" s="87"/>
      <c r="F56" s="87"/>
      <c r="G56" s="73"/>
      <c r="H56" s="77"/>
      <c r="I56" s="94"/>
      <c r="J56" s="28"/>
      <c r="K56" s="29"/>
      <c r="L56" s="28"/>
      <c r="M56" s="28"/>
      <c r="N56" s="28"/>
      <c r="O56" s="28"/>
      <c r="P56" s="28"/>
      <c r="Q56" s="28"/>
      <c r="R56" s="28"/>
      <c r="S56" s="28"/>
      <c r="T56" s="28"/>
    </row>
    <row r="57" s="31" customFormat="1" spans="1:20">
      <c r="A57" s="69" t="s">
        <v>72</v>
      </c>
      <c r="B57" s="70" t="s">
        <v>73</v>
      </c>
      <c r="C57" s="71" t="s">
        <v>74</v>
      </c>
      <c r="D57" s="88">
        <f>33.8*35</f>
        <v>1183</v>
      </c>
      <c r="E57" s="72">
        <v>13.22</v>
      </c>
      <c r="F57" s="72">
        <f>IF(E57="","",ROUND(E57+(E57*$D$4),2))</f>
        <v>16.24</v>
      </c>
      <c r="G57" s="73">
        <f>D57*F57</f>
        <v>19211.92</v>
      </c>
      <c r="H57" s="71" t="s">
        <v>75</v>
      </c>
      <c r="I57" s="94" t="s">
        <v>76</v>
      </c>
      <c r="J57" s="28"/>
      <c r="K57" s="29"/>
      <c r="L57" s="28"/>
      <c r="M57" s="28"/>
      <c r="N57" s="28"/>
      <c r="O57" s="28"/>
      <c r="P57" s="28"/>
      <c r="Q57" s="28"/>
      <c r="R57" s="28"/>
      <c r="S57" s="28"/>
      <c r="T57" s="28"/>
    </row>
    <row r="58" s="31" customFormat="1" ht="78.75" spans="1:20">
      <c r="A58" s="69"/>
      <c r="B58" s="75" t="s">
        <v>77</v>
      </c>
      <c r="C58" s="71"/>
      <c r="D58" s="88"/>
      <c r="E58" s="72"/>
      <c r="F58" s="72"/>
      <c r="G58" s="73"/>
      <c r="H58" s="77"/>
      <c r="I58" s="94"/>
      <c r="J58" s="28"/>
      <c r="K58" s="29"/>
      <c r="L58" s="28"/>
      <c r="M58" s="28"/>
      <c r="N58" s="28"/>
      <c r="O58" s="28"/>
      <c r="P58" s="28"/>
      <c r="Q58" s="28"/>
      <c r="R58" s="28"/>
      <c r="S58" s="28"/>
      <c r="T58" s="28"/>
    </row>
    <row r="59" s="31" customFormat="1" spans="1:20">
      <c r="A59" s="69"/>
      <c r="B59" s="75"/>
      <c r="C59" s="71"/>
      <c r="D59" s="88"/>
      <c r="E59" s="72"/>
      <c r="F59" s="72"/>
      <c r="G59" s="73"/>
      <c r="H59" s="77"/>
      <c r="I59" s="94"/>
      <c r="J59" s="28"/>
      <c r="K59" s="29"/>
      <c r="L59" s="28"/>
      <c r="M59" s="28"/>
      <c r="N59" s="28"/>
      <c r="O59" s="28"/>
      <c r="P59" s="28"/>
      <c r="Q59" s="28"/>
      <c r="R59" s="28"/>
      <c r="S59" s="28"/>
      <c r="T59" s="28"/>
    </row>
    <row r="60" s="31" customFormat="1" ht="78.75" spans="1:20">
      <c r="A60" s="69" t="s">
        <v>78</v>
      </c>
      <c r="B60" s="70" t="s">
        <v>79</v>
      </c>
      <c r="C60" s="71" t="s">
        <v>32</v>
      </c>
      <c r="D60" s="74">
        <f>28*0.4*4+18*0.4*4+21.62*0.4*4+(3.75+1.66)*0.4*2+15.4*0.4*6+(3.74+2.58)*0.4*2+1.24*0.4*2+4.7*0.4*2+1.82*0.4*2+4.22*0.4*2+0.7*0.4*4*14+15*0.4*4*0.4</f>
        <v>189.4</v>
      </c>
      <c r="E60" s="72">
        <v>61.82</v>
      </c>
      <c r="F60" s="72">
        <f>IF(E60="","",ROUND(E60+(E60*$D$4),2))</f>
        <v>75.96</v>
      </c>
      <c r="G60" s="73">
        <f>D60*F60</f>
        <v>14386.824</v>
      </c>
      <c r="H60" s="77" t="s">
        <v>80</v>
      </c>
      <c r="I60" s="94" t="s">
        <v>76</v>
      </c>
      <c r="J60" s="28"/>
      <c r="K60" s="29"/>
      <c r="L60" s="28"/>
      <c r="M60" s="28"/>
      <c r="N60" s="28"/>
      <c r="O60" s="28"/>
      <c r="P60" s="28"/>
      <c r="Q60" s="28"/>
      <c r="R60" s="28"/>
      <c r="S60" s="28"/>
      <c r="T60" s="28"/>
    </row>
    <row r="61" s="31" customFormat="1" ht="75" customHeight="1" spans="1:20">
      <c r="A61" s="69"/>
      <c r="B61" s="75" t="s">
        <v>81</v>
      </c>
      <c r="C61" s="71"/>
      <c r="D61" s="72"/>
      <c r="E61" s="72"/>
      <c r="F61" s="72"/>
      <c r="G61" s="73"/>
      <c r="H61" s="77"/>
      <c r="I61" s="94"/>
      <c r="J61" s="28"/>
      <c r="K61" s="29"/>
      <c r="L61" s="28"/>
      <c r="M61" s="28"/>
      <c r="N61" s="28"/>
      <c r="O61" s="28"/>
      <c r="P61" s="28"/>
      <c r="Q61" s="28"/>
      <c r="R61" s="28"/>
      <c r="S61" s="28"/>
      <c r="T61" s="28"/>
    </row>
    <row r="62" s="31" customFormat="1" spans="1:20">
      <c r="A62" s="69"/>
      <c r="B62" s="75"/>
      <c r="C62" s="71"/>
      <c r="D62" s="72"/>
      <c r="E62" s="72"/>
      <c r="F62" s="72"/>
      <c r="G62" s="73"/>
      <c r="H62" s="77"/>
      <c r="I62" s="94"/>
      <c r="J62" s="28"/>
      <c r="K62" s="29"/>
      <c r="L62" s="28"/>
      <c r="M62" s="28"/>
      <c r="N62" s="28"/>
      <c r="O62" s="28"/>
      <c r="P62" s="28"/>
      <c r="Q62" s="28"/>
      <c r="R62" s="28"/>
      <c r="S62" s="28"/>
      <c r="T62" s="28"/>
    </row>
    <row r="63" s="31" customFormat="1" spans="1:20">
      <c r="A63" s="69"/>
      <c r="B63" s="75"/>
      <c r="C63" s="71"/>
      <c r="D63" s="72"/>
      <c r="E63" s="72"/>
      <c r="F63" s="72"/>
      <c r="G63" s="73"/>
      <c r="H63" s="77"/>
      <c r="I63" s="94"/>
      <c r="J63" s="28"/>
      <c r="K63" s="29"/>
      <c r="L63" s="28"/>
      <c r="M63" s="28"/>
      <c r="N63" s="28"/>
      <c r="O63" s="28"/>
      <c r="P63" s="28"/>
      <c r="Q63" s="28"/>
      <c r="R63" s="28"/>
      <c r="S63" s="28"/>
      <c r="T63" s="28"/>
    </row>
    <row r="64" s="31" customFormat="1" spans="1:20">
      <c r="A64" s="69"/>
      <c r="B64" s="75"/>
      <c r="C64" s="71"/>
      <c r="D64" s="72"/>
      <c r="E64" s="72"/>
      <c r="F64" s="72"/>
      <c r="G64" s="73"/>
      <c r="H64" s="77"/>
      <c r="I64" s="94"/>
      <c r="J64" s="28"/>
      <c r="K64" s="29"/>
      <c r="L64" s="28"/>
      <c r="M64" s="28"/>
      <c r="N64" s="28"/>
      <c r="O64" s="28"/>
      <c r="P64" s="28"/>
      <c r="Q64" s="28"/>
      <c r="R64" s="28"/>
      <c r="S64" s="28"/>
      <c r="T64" s="28"/>
    </row>
    <row r="65" s="31" customFormat="1" spans="1:20">
      <c r="A65" s="69"/>
      <c r="B65" s="75"/>
      <c r="C65" s="71"/>
      <c r="D65" s="72"/>
      <c r="E65" s="72"/>
      <c r="F65" s="72"/>
      <c r="G65" s="73"/>
      <c r="H65" s="77"/>
      <c r="I65" s="94"/>
      <c r="J65" s="28"/>
      <c r="K65" s="29"/>
      <c r="L65" s="28"/>
      <c r="M65" s="28"/>
      <c r="N65" s="28"/>
      <c r="O65" s="28"/>
      <c r="P65" s="28"/>
      <c r="Q65" s="28"/>
      <c r="R65" s="28"/>
      <c r="S65" s="28"/>
      <c r="T65" s="28"/>
    </row>
    <row r="66" s="31" customFormat="1" spans="1:20">
      <c r="A66" s="69"/>
      <c r="B66" s="75"/>
      <c r="C66" s="71"/>
      <c r="D66" s="72"/>
      <c r="E66" s="72"/>
      <c r="F66" s="72"/>
      <c r="G66" s="73"/>
      <c r="H66" s="77"/>
      <c r="I66" s="94"/>
      <c r="J66" s="28"/>
      <c r="K66" s="29"/>
      <c r="L66" s="28"/>
      <c r="M66" s="28"/>
      <c r="N66" s="28"/>
      <c r="O66" s="28"/>
      <c r="P66" s="28"/>
      <c r="Q66" s="28"/>
      <c r="R66" s="28"/>
      <c r="S66" s="28"/>
      <c r="T66" s="28"/>
    </row>
    <row r="67" s="31" customFormat="1" spans="1:20">
      <c r="A67" s="69"/>
      <c r="B67" s="75"/>
      <c r="C67" s="71"/>
      <c r="D67" s="72"/>
      <c r="E67" s="72"/>
      <c r="F67" s="72"/>
      <c r="G67" s="73"/>
      <c r="H67" s="77"/>
      <c r="I67" s="94"/>
      <c r="J67" s="28"/>
      <c r="K67" s="29"/>
      <c r="L67" s="28"/>
      <c r="M67" s="28"/>
      <c r="N67" s="28"/>
      <c r="O67" s="28"/>
      <c r="P67" s="28"/>
      <c r="Q67" s="28"/>
      <c r="R67" s="28"/>
      <c r="S67" s="28"/>
      <c r="T67" s="28"/>
    </row>
    <row r="68" s="31" customFormat="1" spans="1:20">
      <c r="A68" s="69"/>
      <c r="B68" s="75"/>
      <c r="C68" s="71"/>
      <c r="D68" s="72"/>
      <c r="E68" s="72"/>
      <c r="F68" s="72"/>
      <c r="G68" s="73"/>
      <c r="H68" s="77"/>
      <c r="I68" s="94"/>
      <c r="J68" s="28"/>
      <c r="K68" s="29"/>
      <c r="L68" s="28"/>
      <c r="M68" s="28"/>
      <c r="N68" s="28"/>
      <c r="O68" s="28"/>
      <c r="P68" s="28"/>
      <c r="Q68" s="28"/>
      <c r="R68" s="28"/>
      <c r="S68" s="28"/>
      <c r="T68" s="28"/>
    </row>
    <row r="69" s="31" customFormat="1" spans="1:20">
      <c r="A69" s="69"/>
      <c r="B69" s="75"/>
      <c r="C69" s="71"/>
      <c r="D69" s="72"/>
      <c r="E69" s="72"/>
      <c r="F69" s="72"/>
      <c r="G69" s="73"/>
      <c r="H69" s="77"/>
      <c r="I69" s="94"/>
      <c r="J69" s="28"/>
      <c r="K69" s="29"/>
      <c r="L69" s="28"/>
      <c r="M69" s="28"/>
      <c r="N69" s="28"/>
      <c r="O69" s="28"/>
      <c r="P69" s="28"/>
      <c r="Q69" s="28"/>
      <c r="R69" s="28"/>
      <c r="S69" s="28"/>
      <c r="T69" s="28"/>
    </row>
    <row r="70" s="31" customFormat="1" spans="1:20">
      <c r="A70" s="69"/>
      <c r="B70" s="75"/>
      <c r="C70" s="71"/>
      <c r="D70" s="72"/>
      <c r="E70" s="72"/>
      <c r="F70" s="72"/>
      <c r="G70" s="73"/>
      <c r="H70" s="77"/>
      <c r="I70" s="94"/>
      <c r="J70" s="28"/>
      <c r="K70" s="29"/>
      <c r="L70" s="28"/>
      <c r="M70" s="28"/>
      <c r="N70" s="28"/>
      <c r="O70" s="28"/>
      <c r="P70" s="28"/>
      <c r="Q70" s="28"/>
      <c r="R70" s="28"/>
      <c r="S70" s="28"/>
      <c r="T70" s="28"/>
    </row>
    <row r="71" s="31" customFormat="1" spans="1:20">
      <c r="A71" s="69"/>
      <c r="B71" s="75"/>
      <c r="C71" s="71"/>
      <c r="D71" s="72"/>
      <c r="E71" s="72"/>
      <c r="F71" s="72"/>
      <c r="G71" s="73"/>
      <c r="H71" s="77"/>
      <c r="I71" s="94"/>
      <c r="J71" s="28"/>
      <c r="K71" s="29"/>
      <c r="L71" s="28"/>
      <c r="M71" s="28"/>
      <c r="N71" s="28"/>
      <c r="O71" s="28"/>
      <c r="P71" s="28"/>
      <c r="Q71" s="28"/>
      <c r="R71" s="28"/>
      <c r="S71" s="28"/>
      <c r="T71" s="28"/>
    </row>
    <row r="72" s="31" customFormat="1" spans="1:20">
      <c r="A72" s="69"/>
      <c r="B72" s="75"/>
      <c r="C72" s="71"/>
      <c r="D72" s="72"/>
      <c r="E72" s="72"/>
      <c r="F72" s="72"/>
      <c r="G72" s="73"/>
      <c r="H72" s="77"/>
      <c r="I72" s="94"/>
      <c r="J72" s="28"/>
      <c r="K72" s="29"/>
      <c r="L72" s="28"/>
      <c r="M72" s="28"/>
      <c r="N72" s="28"/>
      <c r="O72" s="28"/>
      <c r="P72" s="28"/>
      <c r="Q72" s="28"/>
      <c r="R72" s="28"/>
      <c r="S72" s="28"/>
      <c r="T72" s="28"/>
    </row>
    <row r="73" s="31" customFormat="1" spans="1:20">
      <c r="A73" s="69"/>
      <c r="B73" s="75"/>
      <c r="C73" s="71"/>
      <c r="D73" s="72"/>
      <c r="E73" s="72"/>
      <c r="F73" s="72"/>
      <c r="G73" s="73"/>
      <c r="H73" s="77"/>
      <c r="I73" s="94"/>
      <c r="J73" s="28"/>
      <c r="K73" s="29"/>
      <c r="L73" s="28"/>
      <c r="M73" s="28"/>
      <c r="N73" s="28"/>
      <c r="O73" s="28"/>
      <c r="P73" s="28"/>
      <c r="Q73" s="28"/>
      <c r="R73" s="28"/>
      <c r="S73" s="28"/>
      <c r="T73" s="28"/>
    </row>
    <row r="74" s="31" customFormat="1" ht="31.5" spans="1:20">
      <c r="A74" s="69" t="s">
        <v>82</v>
      </c>
      <c r="B74" s="70" t="s">
        <v>83</v>
      </c>
      <c r="C74" s="71" t="s">
        <v>46</v>
      </c>
      <c r="D74" s="72">
        <f>3.14*1.3*1.3*0.08</f>
        <v>0.424528</v>
      </c>
      <c r="E74" s="72">
        <v>2027.09</v>
      </c>
      <c r="F74" s="72">
        <f>IF(E74="","",ROUND(E74+(E74*$D$4),2))</f>
        <v>2490.89</v>
      </c>
      <c r="G74" s="73">
        <f>D74*F74</f>
        <v>1057.45254992</v>
      </c>
      <c r="H74" s="77" t="s">
        <v>84</v>
      </c>
      <c r="I74" s="94" t="s">
        <v>85</v>
      </c>
      <c r="J74" s="28"/>
      <c r="K74" s="29"/>
      <c r="L74" s="28"/>
      <c r="M74" s="28"/>
      <c r="N74" s="28"/>
      <c r="O74" s="28"/>
      <c r="P74" s="28"/>
      <c r="Q74" s="28"/>
      <c r="R74" s="28"/>
      <c r="S74" s="28"/>
      <c r="T74" s="28"/>
    </row>
    <row r="75" s="31" customFormat="1" ht="195.75" customHeight="1" spans="1:20">
      <c r="A75" s="69"/>
      <c r="B75" s="75" t="s">
        <v>86</v>
      </c>
      <c r="C75" s="71"/>
      <c r="D75" s="72"/>
      <c r="E75" s="72"/>
      <c r="F75" s="72"/>
      <c r="G75" s="73"/>
      <c r="H75" s="77"/>
      <c r="I75" s="94"/>
      <c r="J75" s="28"/>
      <c r="K75" s="29"/>
      <c r="L75" s="28"/>
      <c r="M75" s="28"/>
      <c r="N75" s="28"/>
      <c r="O75" s="28"/>
      <c r="P75" s="28"/>
      <c r="Q75" s="28"/>
      <c r="R75" s="28"/>
      <c r="S75" s="28"/>
      <c r="T75" s="28"/>
    </row>
    <row r="76" s="31" customFormat="1" spans="1:20">
      <c r="A76" s="69"/>
      <c r="B76" s="70"/>
      <c r="C76" s="71"/>
      <c r="D76" s="72"/>
      <c r="E76" s="72"/>
      <c r="F76" s="72"/>
      <c r="G76" s="73"/>
      <c r="H76" s="77"/>
      <c r="I76" s="94"/>
      <c r="J76" s="28"/>
      <c r="K76" s="29"/>
      <c r="L76" s="28"/>
      <c r="M76" s="28"/>
      <c r="N76" s="28"/>
      <c r="O76" s="28"/>
      <c r="P76" s="28"/>
      <c r="Q76" s="28"/>
      <c r="R76" s="28"/>
      <c r="S76" s="28"/>
      <c r="T76" s="28"/>
    </row>
    <row r="77" s="31" customFormat="1" ht="175.5" customHeight="1" spans="1:20">
      <c r="A77" s="69" t="s">
        <v>87</v>
      </c>
      <c r="B77" s="70" t="s">
        <v>88</v>
      </c>
      <c r="C77" s="71" t="s">
        <v>89</v>
      </c>
      <c r="D77" s="98">
        <f>28*0.2*0.4*2+18*0.2*0.4*2+(18.6+3.02)*0.2*0.4*2+(4.46+2.25+2.41+2.25+2.41+0.2)*0.2*0.4+0.4*0.2*0.4*2+15.4*0.2*0.4*2+1.1*0.2*0.4*2+(3.75+1.66)*0.2*0.4+(2.58+3.74)*0.2*0.4+1.24*0.2*0.4+4.7*0.2*0.4+(2.11*2+0.18*3)*0.2*0.4+1.82*0.2*0.4+10.77+14*0.7*0.7*0.8+15*0.4*0.4*0.4</f>
        <v>33.7996</v>
      </c>
      <c r="E77" s="72">
        <v>607.13</v>
      </c>
      <c r="F77" s="72">
        <f>IF(E77="","",ROUND(E77+(E77*$D$4),2))</f>
        <v>746.04</v>
      </c>
      <c r="G77" s="73">
        <f>D77*F77</f>
        <v>25215.853584</v>
      </c>
      <c r="H77" s="77" t="s">
        <v>90</v>
      </c>
      <c r="I77" s="94" t="s">
        <v>76</v>
      </c>
      <c r="J77" s="28"/>
      <c r="K77" s="29"/>
      <c r="L77" s="28"/>
      <c r="M77" s="28"/>
      <c r="N77" s="28"/>
      <c r="O77" s="28"/>
      <c r="P77" s="28"/>
      <c r="Q77" s="28"/>
      <c r="R77" s="28"/>
      <c r="S77" s="28"/>
      <c r="T77" s="28"/>
    </row>
    <row r="78" s="31" customFormat="1" ht="78" customHeight="1" spans="1:20">
      <c r="A78" s="69"/>
      <c r="B78" s="75" t="s">
        <v>91</v>
      </c>
      <c r="C78" s="71"/>
      <c r="D78" s="72"/>
      <c r="E78" s="72"/>
      <c r="F78" s="72"/>
      <c r="G78" s="73"/>
      <c r="H78" s="77"/>
      <c r="I78" s="94"/>
      <c r="J78" s="28"/>
      <c r="K78" s="29"/>
      <c r="L78" s="28"/>
      <c r="M78" s="28"/>
      <c r="N78" s="28"/>
      <c r="O78" s="28"/>
      <c r="P78" s="28"/>
      <c r="Q78" s="28"/>
      <c r="R78" s="28"/>
      <c r="S78" s="28"/>
      <c r="T78" s="28"/>
    </row>
    <row r="79" s="31" customFormat="1" ht="78" customHeight="1" spans="1:20">
      <c r="A79" s="69"/>
      <c r="B79" s="75"/>
      <c r="C79" s="71"/>
      <c r="D79" s="72"/>
      <c r="E79" s="72"/>
      <c r="F79" s="72"/>
      <c r="G79" s="73"/>
      <c r="H79" s="77"/>
      <c r="I79" s="94"/>
      <c r="J79" s="28"/>
      <c r="K79" s="29"/>
      <c r="L79" s="28"/>
      <c r="M79" s="28"/>
      <c r="N79" s="28"/>
      <c r="O79" s="28"/>
      <c r="P79" s="28"/>
      <c r="Q79" s="28"/>
      <c r="R79" s="28"/>
      <c r="S79" s="28"/>
      <c r="T79" s="28"/>
    </row>
    <row r="80" s="31" customFormat="1" spans="1:20">
      <c r="A80" s="69"/>
      <c r="B80" s="75"/>
      <c r="C80" s="71"/>
      <c r="D80" s="72"/>
      <c r="E80" s="72"/>
      <c r="F80" s="72"/>
      <c r="G80" s="73"/>
      <c r="H80" s="77"/>
      <c r="I80" s="94"/>
      <c r="J80" s="28"/>
      <c r="K80" s="29"/>
      <c r="L80" s="28"/>
      <c r="M80" s="28"/>
      <c r="N80" s="28"/>
      <c r="O80" s="28"/>
      <c r="P80" s="28"/>
      <c r="Q80" s="28"/>
      <c r="R80" s="28"/>
      <c r="S80" s="28"/>
      <c r="T80" s="28"/>
    </row>
    <row r="81" s="31" customFormat="1" spans="1:20">
      <c r="A81" s="69"/>
      <c r="B81" s="75"/>
      <c r="C81" s="71"/>
      <c r="D81" s="72"/>
      <c r="E81" s="72"/>
      <c r="F81" s="72"/>
      <c r="G81" s="73"/>
      <c r="H81" s="77"/>
      <c r="I81" s="94"/>
      <c r="J81" s="28"/>
      <c r="K81" s="29"/>
      <c r="L81" s="28"/>
      <c r="M81" s="28"/>
      <c r="N81" s="28"/>
      <c r="O81" s="28"/>
      <c r="P81" s="28"/>
      <c r="Q81" s="28"/>
      <c r="R81" s="28"/>
      <c r="S81" s="28"/>
      <c r="T81" s="28"/>
    </row>
    <row r="82" s="31" customFormat="1" spans="1:20">
      <c r="A82" s="69"/>
      <c r="B82" s="75"/>
      <c r="C82" s="71"/>
      <c r="D82" s="72"/>
      <c r="E82" s="72"/>
      <c r="F82" s="72"/>
      <c r="G82" s="73"/>
      <c r="H82" s="77"/>
      <c r="I82" s="94"/>
      <c r="J82" s="28"/>
      <c r="K82" s="29"/>
      <c r="L82" s="28"/>
      <c r="M82" s="28"/>
      <c r="N82" s="28"/>
      <c r="O82" s="28"/>
      <c r="P82" s="28"/>
      <c r="Q82" s="28"/>
      <c r="R82" s="28"/>
      <c r="S82" s="28"/>
      <c r="T82" s="28"/>
    </row>
    <row r="83" s="31" customFormat="1" spans="1:20">
      <c r="A83" s="69"/>
      <c r="B83" s="75"/>
      <c r="C83" s="71"/>
      <c r="D83" s="72"/>
      <c r="E83" s="72"/>
      <c r="F83" s="72"/>
      <c r="G83" s="73"/>
      <c r="H83" s="77"/>
      <c r="I83" s="94"/>
      <c r="J83" s="28"/>
      <c r="K83" s="29"/>
      <c r="L83" s="28"/>
      <c r="M83" s="28"/>
      <c r="N83" s="28"/>
      <c r="O83" s="28"/>
      <c r="P83" s="28"/>
      <c r="Q83" s="28"/>
      <c r="R83" s="28"/>
      <c r="S83" s="28"/>
      <c r="T83" s="28"/>
    </row>
    <row r="84" s="31" customFormat="1" ht="155.25" customHeight="1" spans="1:20">
      <c r="A84" s="69" t="s">
        <v>92</v>
      </c>
      <c r="B84" s="70" t="s">
        <v>93</v>
      </c>
      <c r="C84" s="71" t="s">
        <v>32</v>
      </c>
      <c r="D84" s="72">
        <f>28*0.25*2+18*0.25*2+(18.6+3.02)*0.25*2+(4.46+2.25+2.41+2.25+2.41+0.2)*0.25+0.4*0.25*2+15.4*0.25*2+1.1*0.25*2+(3.75+1.66)*0.25+(2.58+3.74)*0.25+1.24*0.25+4.7*0.25+(2.11*2+0.18*3)*0.25+1.82*0.25+14*0.7*0.7+15*0.4*0.4+1.3*1.3*3.14</f>
        <v>66.3841</v>
      </c>
      <c r="E84" s="72">
        <v>51.68</v>
      </c>
      <c r="F84" s="72">
        <f>IF(E84="","",ROUND(E84+(E84*$D$4),2))</f>
        <v>63.5</v>
      </c>
      <c r="G84" s="73">
        <f>D84*F84</f>
        <v>4215.39035</v>
      </c>
      <c r="H84" s="77" t="s">
        <v>94</v>
      </c>
      <c r="I84" s="94" t="s">
        <v>76</v>
      </c>
      <c r="J84" s="28"/>
      <c r="K84" s="29"/>
      <c r="L84" s="28"/>
      <c r="M84" s="28"/>
      <c r="N84" s="28"/>
      <c r="O84" s="28"/>
      <c r="P84" s="28"/>
      <c r="Q84" s="28"/>
      <c r="R84" s="28"/>
      <c r="S84" s="28"/>
      <c r="T84" s="28"/>
    </row>
    <row r="85" s="31" customFormat="1" ht="47.25" spans="1:20">
      <c r="A85" s="69"/>
      <c r="B85" s="75" t="s">
        <v>95</v>
      </c>
      <c r="C85" s="71"/>
      <c r="D85" s="72"/>
      <c r="E85" s="72"/>
      <c r="F85" s="72"/>
      <c r="G85" s="73"/>
      <c r="H85" s="77"/>
      <c r="I85" s="94"/>
      <c r="J85" s="28"/>
      <c r="K85" s="29"/>
      <c r="L85" s="28"/>
      <c r="M85" s="28"/>
      <c r="N85" s="28"/>
      <c r="O85" s="28"/>
      <c r="P85" s="28"/>
      <c r="Q85" s="28"/>
      <c r="R85" s="28"/>
      <c r="S85" s="28"/>
      <c r="T85" s="28"/>
    </row>
    <row r="86" s="31" customFormat="1" spans="1:20">
      <c r="A86" s="69"/>
      <c r="B86" s="75"/>
      <c r="C86" s="71"/>
      <c r="D86" s="72"/>
      <c r="E86" s="72"/>
      <c r="F86" s="72"/>
      <c r="G86" s="73"/>
      <c r="H86" s="77"/>
      <c r="I86" s="94"/>
      <c r="J86" s="28"/>
      <c r="K86" s="29"/>
      <c r="L86" s="28"/>
      <c r="M86" s="28"/>
      <c r="N86" s="28"/>
      <c r="O86" s="28"/>
      <c r="P86" s="28"/>
      <c r="Q86" s="28"/>
      <c r="R86" s="28"/>
      <c r="S86" s="28"/>
      <c r="T86" s="28"/>
    </row>
    <row r="87" s="31" customFormat="1" spans="1:20">
      <c r="A87" s="69"/>
      <c r="B87" s="75"/>
      <c r="C87" s="71"/>
      <c r="D87" s="72"/>
      <c r="E87" s="72"/>
      <c r="F87" s="72"/>
      <c r="G87" s="73"/>
      <c r="H87" s="77"/>
      <c r="I87" s="94"/>
      <c r="J87" s="28"/>
      <c r="K87" s="29"/>
      <c r="L87" s="28"/>
      <c r="M87" s="28"/>
      <c r="N87" s="28"/>
      <c r="O87" s="28"/>
      <c r="P87" s="28"/>
      <c r="Q87" s="28"/>
      <c r="R87" s="28"/>
      <c r="S87" s="28"/>
      <c r="T87" s="28"/>
    </row>
    <row r="88" s="31" customFormat="1" ht="25.5" customHeight="1" spans="1:20">
      <c r="A88" s="69" t="s">
        <v>96</v>
      </c>
      <c r="B88" s="99" t="s">
        <v>97</v>
      </c>
      <c r="C88" s="84"/>
      <c r="D88" s="85"/>
      <c r="E88" s="72"/>
      <c r="F88" s="72"/>
      <c r="G88" s="73"/>
      <c r="H88" s="74"/>
      <c r="I88" s="94"/>
      <c r="J88" s="28"/>
      <c r="K88" s="29"/>
      <c r="L88" s="28"/>
      <c r="M88" s="28"/>
      <c r="N88" s="28"/>
      <c r="O88" s="28"/>
      <c r="P88" s="28"/>
      <c r="Q88" s="28"/>
      <c r="R88" s="28"/>
      <c r="S88" s="28"/>
      <c r="T88" s="28"/>
    </row>
    <row r="89" s="31" customFormat="1" ht="37.5" customHeight="1" spans="1:20">
      <c r="A89" s="69" t="s">
        <v>98</v>
      </c>
      <c r="B89" s="70" t="s">
        <v>99</v>
      </c>
      <c r="C89" s="84" t="s">
        <v>27</v>
      </c>
      <c r="D89" s="85">
        <v>1</v>
      </c>
      <c r="E89" s="72">
        <v>731.85</v>
      </c>
      <c r="F89" s="72">
        <f>IF(E89="","",ROUND(E89+(E89*$D$4),2))</f>
        <v>899.3</v>
      </c>
      <c r="G89" s="73">
        <f>D89*F89</f>
        <v>899.3</v>
      </c>
      <c r="H89" s="85">
        <v>1</v>
      </c>
      <c r="I89" s="94" t="s">
        <v>100</v>
      </c>
      <c r="J89" s="28"/>
      <c r="K89" s="29"/>
      <c r="L89" s="28"/>
      <c r="M89" s="28"/>
      <c r="N89" s="28"/>
      <c r="O89" s="28"/>
      <c r="P89" s="28"/>
      <c r="Q89" s="28"/>
      <c r="R89" s="28"/>
      <c r="S89" s="28"/>
      <c r="T89" s="28"/>
    </row>
    <row r="90" s="31" customFormat="1" ht="63" spans="1:20">
      <c r="A90" s="69"/>
      <c r="B90" s="75" t="s">
        <v>101</v>
      </c>
      <c r="C90" s="84"/>
      <c r="D90" s="85"/>
      <c r="E90" s="72"/>
      <c r="F90" s="72"/>
      <c r="G90" s="73"/>
      <c r="H90" s="74"/>
      <c r="I90" s="94"/>
      <c r="J90" s="28"/>
      <c r="K90" s="29"/>
      <c r="L90" s="28"/>
      <c r="M90" s="28"/>
      <c r="N90" s="28"/>
      <c r="O90" s="28"/>
      <c r="P90" s="28"/>
      <c r="Q90" s="28"/>
      <c r="R90" s="28"/>
      <c r="S90" s="28"/>
      <c r="T90" s="28"/>
    </row>
    <row r="91" s="31" customFormat="1" spans="1:20">
      <c r="A91" s="69"/>
      <c r="B91" s="75"/>
      <c r="C91" s="84"/>
      <c r="D91" s="85"/>
      <c r="E91" s="72"/>
      <c r="F91" s="72"/>
      <c r="G91" s="73"/>
      <c r="H91" s="74"/>
      <c r="I91" s="94"/>
      <c r="J91" s="28"/>
      <c r="K91" s="29"/>
      <c r="L91" s="28"/>
      <c r="M91" s="28"/>
      <c r="N91" s="28"/>
      <c r="O91" s="28"/>
      <c r="P91" s="28"/>
      <c r="Q91" s="28"/>
      <c r="R91" s="28"/>
      <c r="S91" s="28"/>
      <c r="T91" s="28"/>
    </row>
    <row r="92" s="31" customFormat="1" spans="1:20">
      <c r="A92" s="69"/>
      <c r="B92" s="75"/>
      <c r="C92" s="84"/>
      <c r="D92" s="85"/>
      <c r="E92" s="72"/>
      <c r="F92" s="72"/>
      <c r="G92" s="73"/>
      <c r="H92" s="74"/>
      <c r="I92" s="94"/>
      <c r="J92" s="28"/>
      <c r="K92" s="29"/>
      <c r="L92" s="28"/>
      <c r="M92" s="28"/>
      <c r="N92" s="28"/>
      <c r="O92" s="28"/>
      <c r="P92" s="28"/>
      <c r="Q92" s="28"/>
      <c r="R92" s="28"/>
      <c r="S92" s="28"/>
      <c r="T92" s="28"/>
    </row>
    <row r="93" s="31" customFormat="1" ht="106.5" customHeight="1" spans="1:20">
      <c r="A93" s="69" t="s">
        <v>102</v>
      </c>
      <c r="B93" s="70" t="s">
        <v>103</v>
      </c>
      <c r="C93" s="84" t="s">
        <v>104</v>
      </c>
      <c r="D93" s="85">
        <v>51</v>
      </c>
      <c r="E93" s="72">
        <v>78.67</v>
      </c>
      <c r="F93" s="72">
        <f>IF(E93="","",ROUND(E93+(E93*$D$4),2))</f>
        <v>96.67</v>
      </c>
      <c r="G93" s="73">
        <f>D93*F93</f>
        <v>4930.17</v>
      </c>
      <c r="H93" s="74"/>
      <c r="I93" s="94" t="s">
        <v>105</v>
      </c>
      <c r="J93" s="28"/>
      <c r="K93" s="29"/>
      <c r="L93" s="28"/>
      <c r="M93" s="28"/>
      <c r="N93" s="28"/>
      <c r="O93" s="28"/>
      <c r="P93" s="28"/>
      <c r="Q93" s="28"/>
      <c r="R93" s="28"/>
      <c r="S93" s="28"/>
      <c r="T93" s="28"/>
    </row>
    <row r="94" s="31" customFormat="1" ht="67.5" customHeight="1" spans="1:20">
      <c r="A94" s="69"/>
      <c r="B94" s="75" t="s">
        <v>106</v>
      </c>
      <c r="C94" s="84"/>
      <c r="D94" s="85"/>
      <c r="E94" s="72"/>
      <c r="F94" s="72"/>
      <c r="G94" s="73"/>
      <c r="H94" s="74"/>
      <c r="I94" s="94"/>
      <c r="J94" s="28"/>
      <c r="K94" s="29"/>
      <c r="L94" s="28"/>
      <c r="M94" s="28"/>
      <c r="N94" s="28"/>
      <c r="O94" s="28"/>
      <c r="P94" s="28"/>
      <c r="Q94" s="28"/>
      <c r="R94" s="28"/>
      <c r="S94" s="28"/>
      <c r="T94" s="28"/>
    </row>
    <row r="95" s="31" customFormat="1" spans="1:20">
      <c r="A95" s="69"/>
      <c r="B95" s="70"/>
      <c r="C95" s="81" t="s">
        <v>41</v>
      </c>
      <c r="D95" s="81"/>
      <c r="E95" s="81"/>
      <c r="F95" s="81"/>
      <c r="G95" s="82">
        <f>SUM(G57:G94)</f>
        <v>69916.91048392</v>
      </c>
      <c r="H95" s="77"/>
      <c r="I95" s="94"/>
      <c r="J95" s="28"/>
      <c r="K95" s="29"/>
      <c r="L95" s="28"/>
      <c r="M95" s="28"/>
      <c r="N95" s="28"/>
      <c r="O95" s="28"/>
      <c r="P95" s="28"/>
      <c r="Q95" s="28"/>
      <c r="R95" s="28"/>
      <c r="S95" s="28"/>
      <c r="T95" s="28"/>
    </row>
    <row r="96" s="31" customFormat="1" spans="1:20">
      <c r="A96" s="69"/>
      <c r="B96" s="70"/>
      <c r="C96" s="81"/>
      <c r="D96" s="81"/>
      <c r="E96" s="81"/>
      <c r="F96" s="81"/>
      <c r="G96" s="82"/>
      <c r="H96" s="77"/>
      <c r="I96" s="94"/>
      <c r="J96" s="28"/>
      <c r="K96" s="29"/>
      <c r="L96" s="28"/>
      <c r="M96" s="28"/>
      <c r="N96" s="28"/>
      <c r="O96" s="28"/>
      <c r="P96" s="28"/>
      <c r="Q96" s="28"/>
      <c r="R96" s="28"/>
      <c r="S96" s="28"/>
      <c r="T96" s="28"/>
    </row>
    <row r="97" s="31" customFormat="1" spans="1:20">
      <c r="A97" s="69"/>
      <c r="B97" s="70"/>
      <c r="C97" s="81"/>
      <c r="D97" s="81"/>
      <c r="E97" s="81"/>
      <c r="F97" s="81"/>
      <c r="G97" s="82"/>
      <c r="H97" s="77"/>
      <c r="I97" s="94"/>
      <c r="J97" s="28"/>
      <c r="K97" s="29"/>
      <c r="L97" s="28"/>
      <c r="M97" s="28"/>
      <c r="N97" s="28"/>
      <c r="O97" s="28"/>
      <c r="P97" s="28"/>
      <c r="Q97" s="28"/>
      <c r="R97" s="28"/>
      <c r="S97" s="28"/>
      <c r="T97" s="28"/>
    </row>
    <row r="98" s="31" customFormat="1" ht="18" customHeight="1" spans="1:20">
      <c r="A98" s="69"/>
      <c r="B98" s="70"/>
      <c r="C98" s="81"/>
      <c r="D98" s="81"/>
      <c r="E98" s="81"/>
      <c r="F98" s="81"/>
      <c r="G98" s="82"/>
      <c r="H98" s="77"/>
      <c r="I98" s="94"/>
      <c r="J98" s="28"/>
      <c r="K98" s="29"/>
      <c r="L98" s="28"/>
      <c r="M98" s="28"/>
      <c r="N98" s="28"/>
      <c r="O98" s="28"/>
      <c r="P98" s="28"/>
      <c r="Q98" s="28"/>
      <c r="R98" s="28"/>
      <c r="S98" s="28"/>
      <c r="T98" s="28"/>
    </row>
    <row r="99" s="31" customFormat="1" ht="18" customHeight="1" spans="1:20">
      <c r="A99" s="69" t="s">
        <v>107</v>
      </c>
      <c r="B99" s="83" t="s">
        <v>108</v>
      </c>
      <c r="C99" s="84"/>
      <c r="D99" s="84"/>
      <c r="E99" s="72"/>
      <c r="F99" s="72"/>
      <c r="G99" s="73"/>
      <c r="H99" s="77"/>
      <c r="I99" s="94"/>
      <c r="J99" s="28"/>
      <c r="K99" s="29"/>
      <c r="L99" s="28"/>
      <c r="M99" s="28"/>
      <c r="N99" s="28"/>
      <c r="O99" s="28"/>
      <c r="P99" s="28"/>
      <c r="Q99" s="28"/>
      <c r="R99" s="28"/>
      <c r="S99" s="28"/>
      <c r="T99" s="28"/>
    </row>
    <row r="100" s="31" customFormat="1" ht="18" customHeight="1" spans="1:20">
      <c r="A100" s="69"/>
      <c r="B100" s="75"/>
      <c r="C100" s="71"/>
      <c r="D100" s="85"/>
      <c r="E100" s="72"/>
      <c r="F100" s="72"/>
      <c r="G100" s="73"/>
      <c r="H100" s="77"/>
      <c r="I100" s="94"/>
      <c r="J100" s="28"/>
      <c r="K100" s="29"/>
      <c r="L100" s="28"/>
      <c r="M100" s="28"/>
      <c r="N100" s="28"/>
      <c r="O100" s="28"/>
      <c r="P100" s="28"/>
      <c r="Q100" s="28"/>
      <c r="R100" s="28"/>
      <c r="S100" s="28"/>
      <c r="T100" s="28"/>
    </row>
    <row r="101" s="31" customFormat="1" ht="87" customHeight="1" spans="1:20">
      <c r="A101" s="69" t="s">
        <v>109</v>
      </c>
      <c r="B101" s="70" t="s">
        <v>110</v>
      </c>
      <c r="C101" s="71" t="s">
        <v>46</v>
      </c>
      <c r="D101" s="72">
        <f>0.15*0.15*1.5*16+22*0.15*0.15*0.5+0.18*0.2*6*3+0.2*0.2*4*3+0.15*0.15*10*0.5+5*0.15*0.15*1+1.3*1.3*0.08*3.14</f>
        <v>2.565028</v>
      </c>
      <c r="E101" s="72">
        <v>2850.39</v>
      </c>
      <c r="F101" s="72">
        <f>IF(E101="","",ROUND(E101+(E101*$D$4),2))</f>
        <v>3502.56</v>
      </c>
      <c r="G101" s="73">
        <f>D101*F101</f>
        <v>8984.16447168</v>
      </c>
      <c r="H101" s="77" t="s">
        <v>111</v>
      </c>
      <c r="I101" s="94" t="s">
        <v>112</v>
      </c>
      <c r="J101" s="28"/>
      <c r="K101" s="29"/>
      <c r="L101" s="28"/>
      <c r="M101" s="28"/>
      <c r="N101" s="28"/>
      <c r="O101" s="28"/>
      <c r="P101" s="28"/>
      <c r="Q101" s="28"/>
      <c r="R101" s="28"/>
      <c r="S101" s="28"/>
      <c r="T101" s="28"/>
    </row>
    <row r="102" s="31" customFormat="1" ht="205.5" customHeight="1" spans="1:20">
      <c r="A102" s="69"/>
      <c r="B102" s="75" t="s">
        <v>113</v>
      </c>
      <c r="C102" s="71"/>
      <c r="D102" s="72"/>
      <c r="E102" s="72"/>
      <c r="F102" s="72" t="str">
        <f>IF(E102="","",TRUNC(E102+(E102*$D$4),2))</f>
        <v/>
      </c>
      <c r="G102" s="73"/>
      <c r="H102" s="77"/>
      <c r="I102" s="94"/>
      <c r="J102" s="28"/>
      <c r="K102" s="29"/>
      <c r="L102" s="28"/>
      <c r="M102" s="28"/>
      <c r="N102" s="28"/>
      <c r="O102" s="28"/>
      <c r="P102" s="28"/>
      <c r="Q102" s="28"/>
      <c r="R102" s="28"/>
      <c r="S102" s="28"/>
      <c r="T102" s="28"/>
    </row>
    <row r="103" s="31" customFormat="1" spans="1:20">
      <c r="A103" s="69"/>
      <c r="B103" s="70"/>
      <c r="C103" s="71"/>
      <c r="D103" s="72"/>
      <c r="E103" s="72"/>
      <c r="F103" s="72"/>
      <c r="G103" s="73"/>
      <c r="H103" s="77"/>
      <c r="I103" s="94"/>
      <c r="J103" s="28"/>
      <c r="K103" s="29"/>
      <c r="L103" s="28"/>
      <c r="M103" s="28"/>
      <c r="N103" s="28"/>
      <c r="O103" s="28"/>
      <c r="P103" s="28"/>
      <c r="Q103" s="28"/>
      <c r="R103" s="28"/>
      <c r="S103" s="28"/>
      <c r="T103" s="28"/>
    </row>
    <row r="104" s="31" customFormat="1" ht="101.25" customHeight="1" spans="1:20">
      <c r="A104" s="69" t="s">
        <v>114</v>
      </c>
      <c r="B104" s="70" t="s">
        <v>115</v>
      </c>
      <c r="C104" s="71" t="s">
        <v>32</v>
      </c>
      <c r="D104" s="85">
        <f>(4.46+2.25+2.41+2.4+2.46)*0.4+15.8*0.7+15.8*0.4+(2.11*2+0.2+0.36)*2.2+2.96*4.14+10.24*3.74-2.35*1.36-1.36*4.89+2.58*3.74</f>
        <v>83.8428</v>
      </c>
      <c r="E104" s="72">
        <v>263.56</v>
      </c>
      <c r="F104" s="72">
        <f>IF(E104="","",ROUND(E104+(E104*$D$4),2))</f>
        <v>323.86</v>
      </c>
      <c r="G104" s="73">
        <f>D104*F104</f>
        <v>27153.329208</v>
      </c>
      <c r="H104" s="77" t="s">
        <v>116</v>
      </c>
      <c r="I104" s="94" t="s">
        <v>117</v>
      </c>
      <c r="J104" s="28"/>
      <c r="K104" s="29"/>
      <c r="L104" s="28"/>
      <c r="M104" s="28"/>
      <c r="N104" s="28"/>
      <c r="O104" s="28"/>
      <c r="P104" s="28"/>
      <c r="Q104" s="28"/>
      <c r="R104" s="28"/>
      <c r="S104" s="28"/>
      <c r="T104" s="28"/>
    </row>
    <row r="105" s="31" customFormat="1" ht="141.75" spans="1:20">
      <c r="A105" s="69"/>
      <c r="B105" s="75" t="s">
        <v>118</v>
      </c>
      <c r="C105" s="71"/>
      <c r="D105" s="85"/>
      <c r="E105" s="72"/>
      <c r="F105" s="72"/>
      <c r="G105" s="73"/>
      <c r="H105" s="77"/>
      <c r="I105" s="94"/>
      <c r="J105" s="28"/>
      <c r="K105" s="29"/>
      <c r="L105" s="28"/>
      <c r="M105" s="28"/>
      <c r="N105" s="28"/>
      <c r="O105" s="28"/>
      <c r="P105" s="28"/>
      <c r="Q105" s="28"/>
      <c r="R105" s="28"/>
      <c r="S105" s="28"/>
      <c r="T105" s="28"/>
    </row>
    <row r="106" s="31" customFormat="1" spans="1:20">
      <c r="A106" s="69"/>
      <c r="B106" s="75"/>
      <c r="C106" s="71"/>
      <c r="D106" s="85"/>
      <c r="E106" s="72"/>
      <c r="F106" s="72"/>
      <c r="G106" s="73"/>
      <c r="H106" s="77"/>
      <c r="I106" s="94"/>
      <c r="J106" s="28"/>
      <c r="K106" s="29"/>
      <c r="L106" s="28"/>
      <c r="M106" s="28"/>
      <c r="N106" s="28"/>
      <c r="O106" s="28"/>
      <c r="P106" s="28"/>
      <c r="Q106" s="28"/>
      <c r="R106" s="28"/>
      <c r="S106" s="28"/>
      <c r="T106" s="28"/>
    </row>
    <row r="107" s="31" customFormat="1" spans="1:20">
      <c r="A107" s="69"/>
      <c r="B107" s="70"/>
      <c r="C107" s="81" t="s">
        <v>41</v>
      </c>
      <c r="D107" s="81"/>
      <c r="E107" s="81"/>
      <c r="F107" s="81"/>
      <c r="G107" s="82">
        <f>SUM(G100:G106)</f>
        <v>36137.49367968</v>
      </c>
      <c r="H107" s="77"/>
      <c r="I107" s="94"/>
      <c r="J107" s="28"/>
      <c r="K107" s="29"/>
      <c r="L107" s="28"/>
      <c r="M107" s="28"/>
      <c r="N107" s="28"/>
      <c r="O107" s="28"/>
      <c r="P107" s="28"/>
      <c r="Q107" s="28"/>
      <c r="R107" s="28"/>
      <c r="S107" s="28"/>
      <c r="T107" s="28"/>
    </row>
    <row r="108" s="31" customFormat="1" spans="1:20">
      <c r="A108" s="69"/>
      <c r="B108" s="70"/>
      <c r="C108" s="81"/>
      <c r="D108" s="81"/>
      <c r="E108" s="81"/>
      <c r="F108" s="81"/>
      <c r="G108" s="82"/>
      <c r="H108" s="77"/>
      <c r="I108" s="94"/>
      <c r="J108" s="28"/>
      <c r="K108" s="29"/>
      <c r="L108" s="28"/>
      <c r="M108" s="28"/>
      <c r="N108" s="28"/>
      <c r="O108" s="28"/>
      <c r="P108" s="28"/>
      <c r="Q108" s="28"/>
      <c r="R108" s="28"/>
      <c r="S108" s="28"/>
      <c r="T108" s="28"/>
    </row>
    <row r="109" s="31" customFormat="1" spans="1:20">
      <c r="A109" s="69"/>
      <c r="B109" s="70"/>
      <c r="C109" s="81"/>
      <c r="D109" s="81"/>
      <c r="E109" s="81"/>
      <c r="F109" s="81"/>
      <c r="G109" s="82"/>
      <c r="H109" s="77"/>
      <c r="I109" s="94"/>
      <c r="J109" s="28"/>
      <c r="K109" s="29"/>
      <c r="L109" s="28"/>
      <c r="M109" s="28"/>
      <c r="N109" s="28"/>
      <c r="O109" s="28"/>
      <c r="P109" s="28"/>
      <c r="Q109" s="28"/>
      <c r="R109" s="28"/>
      <c r="S109" s="28"/>
      <c r="T109" s="28"/>
    </row>
    <row r="110" s="31" customFormat="1" spans="1:20">
      <c r="A110" s="69" t="s">
        <v>119</v>
      </c>
      <c r="B110" s="83" t="s">
        <v>120</v>
      </c>
      <c r="C110" s="81"/>
      <c r="D110" s="85"/>
      <c r="E110" s="87"/>
      <c r="F110" s="87"/>
      <c r="G110" s="73"/>
      <c r="H110" s="77"/>
      <c r="I110" s="94"/>
      <c r="J110" s="28"/>
      <c r="K110" s="29"/>
      <c r="L110" s="28"/>
      <c r="M110" s="28"/>
      <c r="N110" s="28"/>
      <c r="O110" s="28"/>
      <c r="P110" s="28"/>
      <c r="Q110" s="28"/>
      <c r="R110" s="28"/>
      <c r="S110" s="28"/>
      <c r="T110" s="28"/>
    </row>
    <row r="111" s="31" customFormat="1" spans="1:20">
      <c r="A111" s="69" t="s">
        <v>121</v>
      </c>
      <c r="B111" s="99" t="s">
        <v>122</v>
      </c>
      <c r="C111" s="71"/>
      <c r="D111" s="85"/>
      <c r="E111" s="87"/>
      <c r="F111" s="87"/>
      <c r="G111" s="73"/>
      <c r="H111" s="77"/>
      <c r="I111" s="94"/>
      <c r="J111" s="28"/>
      <c r="K111" s="29"/>
      <c r="L111" s="28"/>
      <c r="M111" s="28"/>
      <c r="N111" s="28"/>
      <c r="O111" s="28"/>
      <c r="P111" s="28"/>
      <c r="Q111" s="28"/>
      <c r="R111" s="28"/>
      <c r="S111" s="28"/>
      <c r="T111" s="28"/>
    </row>
    <row r="112" s="31" customFormat="1" ht="18" customHeight="1" spans="1:20">
      <c r="A112" s="69"/>
      <c r="B112" s="75"/>
      <c r="C112" s="71"/>
      <c r="D112" s="85"/>
      <c r="E112" s="72"/>
      <c r="F112" s="72"/>
      <c r="G112" s="73"/>
      <c r="H112" s="77"/>
      <c r="I112" s="94"/>
      <c r="J112" s="28"/>
      <c r="K112" s="29"/>
      <c r="L112" s="28"/>
      <c r="M112" s="28"/>
      <c r="N112" s="28"/>
      <c r="O112" s="28"/>
      <c r="P112" s="28"/>
      <c r="Q112" s="28"/>
      <c r="R112" s="28"/>
      <c r="S112" s="28"/>
      <c r="T112" s="28"/>
    </row>
    <row r="113" s="31" customFormat="1" ht="110.25" spans="1:20">
      <c r="A113" s="69" t="s">
        <v>123</v>
      </c>
      <c r="B113" s="70" t="s">
        <v>124</v>
      </c>
      <c r="C113" s="71" t="s">
        <v>32</v>
      </c>
      <c r="D113" s="74">
        <f>(28-4.7)*2*1.5+18*1.5+18*3+21.62*0.5*2+(3.75+1.66)*0.5+15.8*0.5+0.4*0.5*2+15.8*0.5+15.8*1+2.58*3+4.7*3*3+3.74*2.5+(4.22+0.56)*0.3+1.82*3+1.1*1*2-1.6*2*1.5+8.24*0.5+4.78*1+2.02*1</f>
        <v>281.829</v>
      </c>
      <c r="E113" s="72">
        <v>59.25</v>
      </c>
      <c r="F113" s="72">
        <f>IF(E113="","",ROUND(E113+(E113*$D$4),2))</f>
        <v>72.81</v>
      </c>
      <c r="G113" s="73">
        <f>D113*F113</f>
        <v>20519.96949</v>
      </c>
      <c r="H113" s="77" t="s">
        <v>125</v>
      </c>
      <c r="I113" s="94" t="s">
        <v>126</v>
      </c>
      <c r="J113" s="28"/>
      <c r="K113" s="29"/>
      <c r="L113" s="28"/>
      <c r="M113" s="28"/>
      <c r="N113" s="28"/>
      <c r="O113" s="28"/>
      <c r="P113" s="28"/>
      <c r="Q113" s="28"/>
      <c r="R113" s="28"/>
      <c r="S113" s="28"/>
      <c r="T113" s="28"/>
    </row>
    <row r="114" s="31" customFormat="1" ht="94.5" spans="1:20">
      <c r="A114" s="69"/>
      <c r="B114" s="75" t="s">
        <v>127</v>
      </c>
      <c r="C114" s="71"/>
      <c r="D114" s="85"/>
      <c r="E114" s="72"/>
      <c r="F114" s="72"/>
      <c r="G114" s="73"/>
      <c r="H114" s="77"/>
      <c r="I114" s="94"/>
      <c r="J114" s="28"/>
      <c r="K114" s="29"/>
      <c r="L114" s="28"/>
      <c r="M114" s="28"/>
      <c r="N114" s="28"/>
      <c r="O114" s="28"/>
      <c r="P114" s="28"/>
      <c r="Q114" s="28"/>
      <c r="R114" s="28"/>
      <c r="S114" s="28"/>
      <c r="T114" s="28"/>
    </row>
    <row r="115" s="31" customFormat="1" spans="1:20">
      <c r="A115" s="69"/>
      <c r="B115" s="75"/>
      <c r="C115" s="71"/>
      <c r="D115" s="85"/>
      <c r="E115" s="72"/>
      <c r="F115" s="72"/>
      <c r="G115" s="73"/>
      <c r="H115" s="77"/>
      <c r="I115" s="94"/>
      <c r="J115" s="28"/>
      <c r="K115" s="29"/>
      <c r="L115" s="28"/>
      <c r="M115" s="28"/>
      <c r="N115" s="28"/>
      <c r="O115" s="28"/>
      <c r="P115" s="28"/>
      <c r="Q115" s="28"/>
      <c r="R115" s="28"/>
      <c r="S115" s="28"/>
      <c r="T115" s="28"/>
    </row>
    <row r="116" s="31" customFormat="1" spans="1:20">
      <c r="A116" s="100"/>
      <c r="B116" s="70"/>
      <c r="C116" s="81" t="s">
        <v>41</v>
      </c>
      <c r="D116" s="81"/>
      <c r="E116" s="81"/>
      <c r="F116" s="81"/>
      <c r="G116" s="82">
        <f>SUM(G112:G115)</f>
        <v>20519.96949</v>
      </c>
      <c r="H116" s="77"/>
      <c r="I116" s="94"/>
      <c r="J116" s="28"/>
      <c r="K116" s="29"/>
      <c r="L116" s="28"/>
      <c r="M116" s="28"/>
      <c r="N116" s="28"/>
      <c r="O116" s="28"/>
      <c r="P116" s="28"/>
      <c r="Q116" s="28"/>
      <c r="R116" s="28"/>
      <c r="S116" s="28"/>
      <c r="T116" s="28"/>
    </row>
    <row r="117" s="31" customFormat="1" spans="1:20">
      <c r="A117" s="100"/>
      <c r="B117" s="70"/>
      <c r="C117" s="81"/>
      <c r="D117" s="81"/>
      <c r="E117" s="81"/>
      <c r="F117" s="81"/>
      <c r="G117" s="82"/>
      <c r="H117" s="77"/>
      <c r="I117" s="94"/>
      <c r="J117" s="28"/>
      <c r="K117" s="29"/>
      <c r="L117" s="28"/>
      <c r="M117" s="28"/>
      <c r="N117" s="28"/>
      <c r="O117" s="28"/>
      <c r="P117" s="28"/>
      <c r="Q117" s="28"/>
      <c r="R117" s="28"/>
      <c r="S117" s="28"/>
      <c r="T117" s="28"/>
    </row>
    <row r="118" s="31" customFormat="1" spans="1:20">
      <c r="A118" s="100"/>
      <c r="B118" s="70"/>
      <c r="C118" s="81"/>
      <c r="D118" s="81"/>
      <c r="E118" s="81"/>
      <c r="F118" s="81"/>
      <c r="G118" s="82"/>
      <c r="H118" s="77"/>
      <c r="I118" s="94"/>
      <c r="J118" s="28"/>
      <c r="K118" s="29"/>
      <c r="L118" s="28"/>
      <c r="M118" s="28"/>
      <c r="N118" s="28"/>
      <c r="O118" s="28"/>
      <c r="P118" s="28"/>
      <c r="Q118" s="28"/>
      <c r="R118" s="28"/>
      <c r="S118" s="28"/>
      <c r="T118" s="28"/>
    </row>
    <row r="119" s="31" customFormat="1" spans="1:20">
      <c r="A119" s="100"/>
      <c r="B119" s="70"/>
      <c r="C119" s="81"/>
      <c r="D119" s="81"/>
      <c r="E119" s="81"/>
      <c r="F119" s="81"/>
      <c r="G119" s="82"/>
      <c r="H119" s="77"/>
      <c r="I119" s="94"/>
      <c r="J119" s="28"/>
      <c r="K119" s="29"/>
      <c r="L119" s="28"/>
      <c r="M119" s="28"/>
      <c r="N119" s="28"/>
      <c r="O119" s="28"/>
      <c r="P119" s="28"/>
      <c r="Q119" s="28"/>
      <c r="R119" s="28"/>
      <c r="S119" s="28"/>
      <c r="T119" s="28"/>
    </row>
    <row r="120" s="31" customFormat="1" spans="1:20">
      <c r="A120" s="100"/>
      <c r="B120" s="70"/>
      <c r="C120" s="81"/>
      <c r="D120" s="81"/>
      <c r="E120" s="81"/>
      <c r="F120" s="81"/>
      <c r="G120" s="82"/>
      <c r="H120" s="77"/>
      <c r="I120" s="94"/>
      <c r="J120" s="28"/>
      <c r="K120" s="29"/>
      <c r="L120" s="28"/>
      <c r="M120" s="28"/>
      <c r="N120" s="28"/>
      <c r="O120" s="28"/>
      <c r="P120" s="28"/>
      <c r="Q120" s="28"/>
      <c r="R120" s="28"/>
      <c r="S120" s="28"/>
      <c r="T120" s="28"/>
    </row>
    <row r="121" s="32" customFormat="1" ht="94.5" customHeight="1" spans="1:20">
      <c r="A121" s="69" t="s">
        <v>128</v>
      </c>
      <c r="B121" s="83" t="s">
        <v>129</v>
      </c>
      <c r="C121" s="84"/>
      <c r="D121" s="85"/>
      <c r="E121" s="72"/>
      <c r="F121" s="72"/>
      <c r="G121" s="73"/>
      <c r="H121" s="77"/>
      <c r="I121" s="94"/>
      <c r="J121" s="28"/>
      <c r="K121" s="29"/>
      <c r="L121" s="28"/>
      <c r="M121" s="28"/>
      <c r="N121" s="28"/>
      <c r="O121" s="28"/>
      <c r="P121" s="28"/>
      <c r="Q121" s="28"/>
      <c r="R121" s="28"/>
      <c r="S121" s="28"/>
      <c r="T121" s="28"/>
    </row>
    <row r="122" s="32" customFormat="1" ht="25.5" customHeight="1" spans="1:20">
      <c r="A122" s="69"/>
      <c r="B122" s="83"/>
      <c r="C122" s="84"/>
      <c r="D122" s="85"/>
      <c r="E122" s="72"/>
      <c r="F122" s="72"/>
      <c r="G122" s="73"/>
      <c r="H122" s="77"/>
      <c r="I122" s="94"/>
      <c r="J122" s="28"/>
      <c r="K122" s="29"/>
      <c r="L122" s="28"/>
      <c r="M122" s="28"/>
      <c r="N122" s="28"/>
      <c r="O122" s="28"/>
      <c r="P122" s="28"/>
      <c r="Q122" s="28"/>
      <c r="R122" s="28"/>
      <c r="S122" s="28"/>
      <c r="T122" s="28"/>
    </row>
    <row r="123" s="32" customFormat="1" spans="1:20">
      <c r="A123" s="69" t="s">
        <v>130</v>
      </c>
      <c r="B123" s="99" t="s">
        <v>131</v>
      </c>
      <c r="C123" s="84"/>
      <c r="D123" s="85"/>
      <c r="E123" s="72"/>
      <c r="F123" s="72"/>
      <c r="G123" s="73"/>
      <c r="H123" s="77"/>
      <c r="I123" s="94"/>
      <c r="J123" s="28"/>
      <c r="K123" s="29"/>
      <c r="L123" s="28"/>
      <c r="M123" s="28"/>
      <c r="N123" s="28"/>
      <c r="O123" s="28"/>
      <c r="P123" s="28"/>
      <c r="Q123" s="28"/>
      <c r="R123" s="28"/>
      <c r="S123" s="28"/>
      <c r="T123" s="28"/>
    </row>
    <row r="124" s="31" customFormat="1" ht="18" customHeight="1" spans="1:20">
      <c r="A124" s="69" t="s">
        <v>132</v>
      </c>
      <c r="B124" s="99" t="s">
        <v>133</v>
      </c>
      <c r="C124" s="71"/>
      <c r="D124" s="85"/>
      <c r="E124" s="72"/>
      <c r="F124" s="72"/>
      <c r="G124" s="73"/>
      <c r="H124" s="77"/>
      <c r="I124" s="94"/>
      <c r="J124" s="28"/>
      <c r="K124" s="29"/>
      <c r="L124" s="28"/>
      <c r="M124" s="28"/>
      <c r="N124" s="28"/>
      <c r="O124" s="28"/>
      <c r="P124" s="28"/>
      <c r="Q124" s="28"/>
      <c r="R124" s="28"/>
      <c r="S124" s="28"/>
      <c r="T124" s="28"/>
    </row>
    <row r="125" s="31" customFormat="1" ht="63" spans="1:20">
      <c r="A125" s="69"/>
      <c r="B125" s="75" t="s">
        <v>134</v>
      </c>
      <c r="C125" s="71"/>
      <c r="D125" s="85"/>
      <c r="E125" s="72"/>
      <c r="F125" s="72"/>
      <c r="G125" s="73"/>
      <c r="H125" s="77"/>
      <c r="I125" s="94"/>
      <c r="J125" s="28"/>
      <c r="K125" s="29"/>
      <c r="L125" s="28"/>
      <c r="M125" s="28"/>
      <c r="N125" s="28"/>
      <c r="O125" s="28"/>
      <c r="P125" s="28"/>
      <c r="Q125" s="28"/>
      <c r="R125" s="28"/>
      <c r="S125" s="28"/>
      <c r="T125" s="28"/>
    </row>
    <row r="126" s="31" customFormat="1" spans="1:20">
      <c r="A126" s="69"/>
      <c r="B126" s="75"/>
      <c r="C126" s="71"/>
      <c r="D126" s="85"/>
      <c r="E126" s="72"/>
      <c r="F126" s="72"/>
      <c r="G126" s="73"/>
      <c r="H126" s="77"/>
      <c r="I126" s="94"/>
      <c r="J126" s="28"/>
      <c r="K126" s="29"/>
      <c r="L126" s="28"/>
      <c r="M126" s="28"/>
      <c r="N126" s="28"/>
      <c r="O126" s="28"/>
      <c r="P126" s="28"/>
      <c r="Q126" s="28"/>
      <c r="R126" s="28"/>
      <c r="S126" s="28"/>
      <c r="T126" s="28"/>
    </row>
    <row r="127" s="31" customFormat="1" spans="1:20">
      <c r="A127" s="69"/>
      <c r="B127" s="75"/>
      <c r="C127" s="71"/>
      <c r="D127" s="85"/>
      <c r="E127" s="72"/>
      <c r="F127" s="72"/>
      <c r="G127" s="73"/>
      <c r="H127" s="77"/>
      <c r="I127" s="94"/>
      <c r="J127" s="28"/>
      <c r="K127" s="29"/>
      <c r="L127" s="28"/>
      <c r="M127" s="28"/>
      <c r="N127" s="28"/>
      <c r="O127" s="28"/>
      <c r="P127" s="28"/>
      <c r="Q127" s="28"/>
      <c r="R127" s="28"/>
      <c r="S127" s="28"/>
      <c r="T127" s="28"/>
    </row>
    <row r="128" s="31" customFormat="1" spans="1:20">
      <c r="A128" s="69"/>
      <c r="B128" s="75"/>
      <c r="C128" s="71"/>
      <c r="D128" s="85"/>
      <c r="E128" s="72"/>
      <c r="F128" s="72"/>
      <c r="G128" s="73"/>
      <c r="H128" s="77"/>
      <c r="I128" s="94"/>
      <c r="J128" s="28"/>
      <c r="K128" s="29"/>
      <c r="L128" s="28"/>
      <c r="M128" s="28"/>
      <c r="N128" s="28"/>
      <c r="O128" s="28"/>
      <c r="P128" s="28"/>
      <c r="Q128" s="28"/>
      <c r="R128" s="28"/>
      <c r="S128" s="28"/>
      <c r="T128" s="28"/>
    </row>
    <row r="129" s="31" customFormat="1" spans="1:20">
      <c r="A129" s="69"/>
      <c r="B129" s="75"/>
      <c r="C129" s="71"/>
      <c r="D129" s="85"/>
      <c r="E129" s="72"/>
      <c r="F129" s="72"/>
      <c r="G129" s="73"/>
      <c r="H129" s="77"/>
      <c r="I129" s="94"/>
      <c r="J129" s="28"/>
      <c r="K129" s="29"/>
      <c r="L129" s="28"/>
      <c r="M129" s="28"/>
      <c r="N129" s="28"/>
      <c r="O129" s="28"/>
      <c r="P129" s="28"/>
      <c r="Q129" s="28"/>
      <c r="R129" s="28"/>
      <c r="S129" s="28"/>
      <c r="T129" s="28"/>
    </row>
    <row r="130" s="31" customFormat="1" ht="67.5" customHeight="1" spans="1:20">
      <c r="A130" s="69" t="s">
        <v>135</v>
      </c>
      <c r="B130" s="70" t="s">
        <v>136</v>
      </c>
      <c r="C130" s="71" t="s">
        <v>104</v>
      </c>
      <c r="D130" s="85">
        <f>28*2</f>
        <v>56</v>
      </c>
      <c r="E130" s="72">
        <v>87.36</v>
      </c>
      <c r="F130" s="72">
        <f>IF(E130="","",ROUND(E130+(E130*$D$4),2))</f>
        <v>107.35</v>
      </c>
      <c r="G130" s="73">
        <f>D130*F130</f>
        <v>6011.6</v>
      </c>
      <c r="H130" s="85" t="s">
        <v>137</v>
      </c>
      <c r="I130" s="94" t="s">
        <v>138</v>
      </c>
      <c r="J130" s="28"/>
      <c r="K130" s="29"/>
      <c r="L130" s="28"/>
      <c r="M130" s="28"/>
      <c r="N130" s="28"/>
      <c r="O130" s="28"/>
      <c r="P130" s="28"/>
      <c r="Q130" s="28"/>
      <c r="R130" s="28"/>
      <c r="S130" s="28"/>
      <c r="T130" s="28"/>
    </row>
    <row r="131" s="31" customFormat="1" spans="1:20">
      <c r="A131" s="69"/>
      <c r="B131" s="70"/>
      <c r="C131" s="71"/>
      <c r="D131" s="85"/>
      <c r="E131" s="72"/>
      <c r="F131" s="72"/>
      <c r="G131" s="73"/>
      <c r="H131" s="77"/>
      <c r="I131" s="94"/>
      <c r="J131" s="28"/>
      <c r="K131" s="29"/>
      <c r="L131" s="28"/>
      <c r="M131" s="28"/>
      <c r="N131" s="28"/>
      <c r="O131" s="28"/>
      <c r="P131" s="28"/>
      <c r="Q131" s="28"/>
      <c r="R131" s="28"/>
      <c r="S131" s="28"/>
      <c r="T131" s="28"/>
    </row>
    <row r="132" s="31" customFormat="1" spans="1:20">
      <c r="A132" s="69" t="s">
        <v>139</v>
      </c>
      <c r="B132" s="99" t="s">
        <v>140</v>
      </c>
      <c r="C132" s="71"/>
      <c r="D132" s="85"/>
      <c r="E132" s="72"/>
      <c r="F132" s="72"/>
      <c r="G132" s="73"/>
      <c r="H132" s="77"/>
      <c r="I132" s="94"/>
      <c r="J132" s="28"/>
      <c r="K132" s="29"/>
      <c r="L132" s="28"/>
      <c r="M132" s="28"/>
      <c r="N132" s="28"/>
      <c r="O132" s="28"/>
      <c r="P132" s="28"/>
      <c r="Q132" s="28"/>
      <c r="R132" s="28"/>
      <c r="S132" s="28"/>
      <c r="T132" s="28"/>
    </row>
    <row r="133" s="31" customFormat="1" ht="63" spans="1:20">
      <c r="A133" s="69"/>
      <c r="B133" s="75" t="s">
        <v>141</v>
      </c>
      <c r="C133" s="71"/>
      <c r="D133" s="85"/>
      <c r="E133" s="72"/>
      <c r="F133" s="72"/>
      <c r="G133" s="73"/>
      <c r="H133" s="77"/>
      <c r="I133" s="94"/>
      <c r="J133" s="28"/>
      <c r="K133" s="29"/>
      <c r="L133" s="28"/>
      <c r="M133" s="28"/>
      <c r="N133" s="28"/>
      <c r="O133" s="28"/>
      <c r="P133" s="28"/>
      <c r="Q133" s="28"/>
      <c r="R133" s="28"/>
      <c r="S133" s="28"/>
      <c r="T133" s="28"/>
    </row>
    <row r="134" s="31" customFormat="1" spans="1:20">
      <c r="A134" s="69"/>
      <c r="B134" s="75"/>
      <c r="C134" s="71"/>
      <c r="D134" s="85"/>
      <c r="E134" s="72"/>
      <c r="F134" s="72"/>
      <c r="G134" s="73"/>
      <c r="H134" s="77"/>
      <c r="I134" s="94"/>
      <c r="J134" s="28"/>
      <c r="K134" s="29"/>
      <c r="L134" s="28"/>
      <c r="M134" s="28"/>
      <c r="N134" s="28"/>
      <c r="O134" s="28"/>
      <c r="P134" s="28"/>
      <c r="Q134" s="28"/>
      <c r="R134" s="28"/>
      <c r="S134" s="28"/>
      <c r="T134" s="28"/>
    </row>
    <row r="135" s="31" customFormat="1" spans="1:20">
      <c r="A135" s="69"/>
      <c r="B135" s="75"/>
      <c r="C135" s="71"/>
      <c r="D135" s="85"/>
      <c r="E135" s="72"/>
      <c r="F135" s="72"/>
      <c r="G135" s="73"/>
      <c r="H135" s="77"/>
      <c r="I135" s="94"/>
      <c r="J135" s="28"/>
      <c r="K135" s="29"/>
      <c r="L135" s="28"/>
      <c r="M135" s="28"/>
      <c r="N135" s="28"/>
      <c r="O135" s="28"/>
      <c r="P135" s="28"/>
      <c r="Q135" s="28"/>
      <c r="R135" s="28"/>
      <c r="S135" s="28"/>
      <c r="T135" s="28"/>
    </row>
    <row r="136" s="31" customFormat="1" ht="90.75" customHeight="1" spans="1:20">
      <c r="A136" s="69" t="s">
        <v>142</v>
      </c>
      <c r="B136" s="70" t="s">
        <v>143</v>
      </c>
      <c r="C136" s="71" t="s">
        <v>104</v>
      </c>
      <c r="D136" s="85">
        <v>48</v>
      </c>
      <c r="E136" s="72">
        <v>94.71</v>
      </c>
      <c r="F136" s="72">
        <f>IF(E136="","",ROUND(E136+(E136*$D$4),2))</f>
        <v>116.38</v>
      </c>
      <c r="G136" s="73">
        <f>D136*F136</f>
        <v>5586.24</v>
      </c>
      <c r="H136" s="77" t="s">
        <v>144</v>
      </c>
      <c r="I136" s="94" t="s">
        <v>145</v>
      </c>
      <c r="J136" s="28"/>
      <c r="K136" s="29"/>
      <c r="L136" s="28"/>
      <c r="M136" s="28"/>
      <c r="N136" s="28"/>
      <c r="O136" s="28"/>
      <c r="P136" s="28"/>
      <c r="Q136" s="28"/>
      <c r="R136" s="28"/>
      <c r="S136" s="28"/>
      <c r="T136" s="28"/>
    </row>
    <row r="137" s="31" customFormat="1" spans="1:20">
      <c r="A137" s="69"/>
      <c r="B137" s="75"/>
      <c r="C137" s="71"/>
      <c r="D137" s="85"/>
      <c r="E137" s="72"/>
      <c r="F137" s="72"/>
      <c r="G137" s="73"/>
      <c r="H137" s="77"/>
      <c r="I137" s="94"/>
      <c r="J137" s="28"/>
      <c r="K137" s="29"/>
      <c r="L137" s="28"/>
      <c r="M137" s="28"/>
      <c r="N137" s="28"/>
      <c r="O137" s="28"/>
      <c r="P137" s="28"/>
      <c r="Q137" s="28"/>
      <c r="R137" s="28"/>
      <c r="S137" s="28"/>
      <c r="T137" s="28"/>
    </row>
    <row r="138" s="31" customFormat="1" spans="1:20">
      <c r="A138" s="100"/>
      <c r="B138" s="70"/>
      <c r="C138" s="81" t="s">
        <v>41</v>
      </c>
      <c r="D138" s="81"/>
      <c r="E138" s="81"/>
      <c r="F138" s="81"/>
      <c r="G138" s="82">
        <f>SUM(G124:G137)</f>
        <v>11597.84</v>
      </c>
      <c r="H138" s="77"/>
      <c r="I138" s="94"/>
      <c r="J138" s="28"/>
      <c r="K138" s="29"/>
      <c r="L138" s="28"/>
      <c r="M138" s="28"/>
      <c r="N138" s="28"/>
      <c r="O138" s="28"/>
      <c r="P138" s="28"/>
      <c r="Q138" s="28"/>
      <c r="R138" s="28"/>
      <c r="S138" s="28"/>
      <c r="T138" s="28"/>
    </row>
    <row r="139" s="31" customFormat="1" spans="1:20">
      <c r="A139" s="69" t="s">
        <v>146</v>
      </c>
      <c r="B139" s="83" t="s">
        <v>147</v>
      </c>
      <c r="C139" s="84"/>
      <c r="D139" s="85"/>
      <c r="E139" s="72"/>
      <c r="F139" s="72"/>
      <c r="G139" s="73"/>
      <c r="H139" s="77"/>
      <c r="I139" s="94"/>
      <c r="J139" s="28"/>
      <c r="K139" s="29"/>
      <c r="L139" s="28"/>
      <c r="M139" s="28"/>
      <c r="N139" s="28"/>
      <c r="O139" s="28"/>
      <c r="P139" s="28"/>
      <c r="Q139" s="28"/>
      <c r="R139" s="28"/>
      <c r="S139" s="28"/>
      <c r="T139" s="28"/>
    </row>
    <row r="140" s="32" customFormat="1" ht="40.5" customHeight="1" spans="1:20">
      <c r="A140" s="69" t="s">
        <v>148</v>
      </c>
      <c r="B140" s="99" t="s">
        <v>149</v>
      </c>
      <c r="C140" s="84"/>
      <c r="D140" s="85"/>
      <c r="E140" s="72"/>
      <c r="F140" s="72"/>
      <c r="G140" s="73"/>
      <c r="H140" s="77"/>
      <c r="I140" s="94"/>
      <c r="J140" s="28"/>
      <c r="K140" s="29"/>
      <c r="L140" s="28"/>
      <c r="M140" s="28"/>
      <c r="N140" s="28"/>
      <c r="O140" s="28"/>
      <c r="P140" s="28"/>
      <c r="Q140" s="28"/>
      <c r="R140" s="28"/>
      <c r="S140" s="28"/>
      <c r="T140" s="28"/>
    </row>
    <row r="141" s="31" customFormat="1" ht="34.5" customHeight="1" spans="1:20">
      <c r="A141" s="69" t="s">
        <v>150</v>
      </c>
      <c r="B141" s="70" t="s">
        <v>151</v>
      </c>
      <c r="C141" s="71" t="s">
        <v>27</v>
      </c>
      <c r="D141" s="85">
        <v>1</v>
      </c>
      <c r="E141" s="72">
        <v>42.11</v>
      </c>
      <c r="F141" s="72">
        <f>IF(E141="","",ROUND(E141+(E141*$D$4),2))</f>
        <v>51.74</v>
      </c>
      <c r="G141" s="73">
        <f>D141*F141</f>
        <v>51.74</v>
      </c>
      <c r="H141" s="77">
        <v>1</v>
      </c>
      <c r="I141" s="94" t="s">
        <v>58</v>
      </c>
      <c r="J141" s="28"/>
      <c r="K141" s="29"/>
      <c r="L141" s="28"/>
      <c r="M141" s="28"/>
      <c r="N141" s="28"/>
      <c r="O141" s="28"/>
      <c r="P141" s="28"/>
      <c r="Q141" s="28"/>
      <c r="R141" s="28"/>
      <c r="S141" s="28"/>
      <c r="T141" s="28"/>
    </row>
    <row r="142" s="31" customFormat="1" ht="63" spans="1:20">
      <c r="A142" s="69"/>
      <c r="B142" s="75" t="s">
        <v>152</v>
      </c>
      <c r="C142" s="71"/>
      <c r="D142" s="85"/>
      <c r="E142" s="72"/>
      <c r="F142" s="72"/>
      <c r="G142" s="73"/>
      <c r="H142" s="77"/>
      <c r="I142" s="94"/>
      <c r="J142" s="28"/>
      <c r="K142" s="29"/>
      <c r="L142" s="28"/>
      <c r="M142" s="28"/>
      <c r="N142" s="28"/>
      <c r="O142" s="28"/>
      <c r="P142" s="28"/>
      <c r="Q142" s="28"/>
      <c r="R142" s="28"/>
      <c r="S142" s="28"/>
      <c r="T142" s="28"/>
    </row>
    <row r="143" s="31" customFormat="1" spans="1:20">
      <c r="A143" s="69"/>
      <c r="B143" s="70"/>
      <c r="C143" s="71"/>
      <c r="D143" s="85"/>
      <c r="E143" s="72"/>
      <c r="F143" s="72"/>
      <c r="G143" s="73"/>
      <c r="H143" s="77"/>
      <c r="I143" s="94"/>
      <c r="J143" s="28"/>
      <c r="K143" s="29"/>
      <c r="L143" s="28"/>
      <c r="M143" s="28"/>
      <c r="N143" s="28"/>
      <c r="O143" s="28"/>
      <c r="P143" s="28"/>
      <c r="Q143" s="28"/>
      <c r="R143" s="28"/>
      <c r="S143" s="28"/>
      <c r="T143" s="28"/>
    </row>
    <row r="144" s="31" customFormat="1" ht="43.5" customHeight="1" spans="1:20">
      <c r="A144" s="69" t="s">
        <v>153</v>
      </c>
      <c r="B144" s="70" t="s">
        <v>154</v>
      </c>
      <c r="C144" s="71" t="s">
        <v>27</v>
      </c>
      <c r="D144" s="85">
        <v>1</v>
      </c>
      <c r="E144" s="72">
        <v>154.1</v>
      </c>
      <c r="F144" s="72">
        <f>IF(E144="","",ROUND(E144+(E144*$D$4),2))</f>
        <v>189.36</v>
      </c>
      <c r="G144" s="73">
        <f>D144*F144</f>
        <v>189.36</v>
      </c>
      <c r="H144" s="77">
        <v>1</v>
      </c>
      <c r="I144" s="94" t="s">
        <v>155</v>
      </c>
      <c r="J144" s="28"/>
      <c r="K144" s="29"/>
      <c r="L144" s="28"/>
      <c r="M144" s="28"/>
      <c r="N144" s="28"/>
      <c r="O144" s="28"/>
      <c r="P144" s="28"/>
      <c r="Q144" s="28"/>
      <c r="R144" s="28"/>
      <c r="S144" s="28"/>
      <c r="T144" s="28"/>
    </row>
    <row r="145" s="31" customFormat="1" ht="47.25" spans="1:20">
      <c r="A145" s="69"/>
      <c r="B145" s="75" t="s">
        <v>156</v>
      </c>
      <c r="C145" s="71"/>
      <c r="D145" s="85"/>
      <c r="E145" s="72"/>
      <c r="F145" s="72"/>
      <c r="G145" s="73"/>
      <c r="H145" s="77"/>
      <c r="I145" s="94"/>
      <c r="J145" s="28"/>
      <c r="K145" s="29"/>
      <c r="L145" s="28"/>
      <c r="M145" s="28"/>
      <c r="N145" s="28"/>
      <c r="O145" s="28"/>
      <c r="P145" s="28"/>
      <c r="Q145" s="28"/>
      <c r="R145" s="28"/>
      <c r="S145" s="28"/>
      <c r="T145" s="28"/>
    </row>
    <row r="146" s="31" customFormat="1" spans="1:20">
      <c r="A146" s="69"/>
      <c r="B146" s="75"/>
      <c r="C146" s="71"/>
      <c r="D146" s="85"/>
      <c r="E146" s="72"/>
      <c r="F146" s="72"/>
      <c r="G146" s="73"/>
      <c r="H146" s="77"/>
      <c r="I146" s="94"/>
      <c r="J146" s="28"/>
      <c r="K146" s="29"/>
      <c r="L146" s="28"/>
      <c r="M146" s="28"/>
      <c r="N146" s="28"/>
      <c r="O146" s="28"/>
      <c r="P146" s="28"/>
      <c r="Q146" s="28"/>
      <c r="R146" s="28"/>
      <c r="S146" s="28"/>
      <c r="T146" s="28"/>
    </row>
    <row r="147" s="31" customFormat="1" spans="1:20">
      <c r="A147" s="69"/>
      <c r="B147" s="75"/>
      <c r="C147" s="71"/>
      <c r="D147" s="85"/>
      <c r="E147" s="72"/>
      <c r="F147" s="72"/>
      <c r="G147" s="73"/>
      <c r="H147" s="77"/>
      <c r="I147" s="94"/>
      <c r="J147" s="28"/>
      <c r="K147" s="29"/>
      <c r="L147" s="28"/>
      <c r="M147" s="28"/>
      <c r="N147" s="28"/>
      <c r="O147" s="28"/>
      <c r="P147" s="28"/>
      <c r="Q147" s="28"/>
      <c r="R147" s="28"/>
      <c r="S147" s="28"/>
      <c r="T147" s="28"/>
    </row>
    <row r="148" s="31" customFormat="1" spans="1:20">
      <c r="A148" s="69" t="s">
        <v>157</v>
      </c>
      <c r="B148" s="99" t="s">
        <v>158</v>
      </c>
      <c r="C148" s="71"/>
      <c r="D148" s="85"/>
      <c r="E148" s="72"/>
      <c r="F148" s="72"/>
      <c r="G148" s="73"/>
      <c r="H148" s="77"/>
      <c r="I148" s="94"/>
      <c r="J148" s="28"/>
      <c r="K148" s="29"/>
      <c r="L148" s="28"/>
      <c r="M148" s="28"/>
      <c r="N148" s="28"/>
      <c r="O148" s="28"/>
      <c r="P148" s="28"/>
      <c r="Q148" s="28"/>
      <c r="R148" s="28"/>
      <c r="S148" s="28"/>
      <c r="T148" s="28"/>
    </row>
    <row r="149" s="31" customFormat="1" spans="1:20">
      <c r="A149" s="69" t="s">
        <v>159</v>
      </c>
      <c r="B149" s="70" t="s">
        <v>160</v>
      </c>
      <c r="C149" s="71" t="s">
        <v>27</v>
      </c>
      <c r="D149" s="85">
        <v>2</v>
      </c>
      <c r="E149" s="72">
        <v>213.13</v>
      </c>
      <c r="F149" s="72">
        <f>IF(E149="","",ROUND(E149+(E149*$D$4),2))</f>
        <v>261.89</v>
      </c>
      <c r="G149" s="73">
        <f>D149*F149</f>
        <v>523.78</v>
      </c>
      <c r="H149" s="77">
        <v>2</v>
      </c>
      <c r="I149" s="94" t="s">
        <v>161</v>
      </c>
      <c r="J149" s="28"/>
      <c r="K149" s="29"/>
      <c r="L149" s="28"/>
      <c r="M149" s="28"/>
      <c r="N149" s="28"/>
      <c r="O149" s="28"/>
      <c r="P149" s="28"/>
      <c r="Q149" s="28"/>
      <c r="R149" s="28"/>
      <c r="S149" s="28"/>
      <c r="T149" s="28"/>
    </row>
    <row r="150" s="31" customFormat="1" ht="63" spans="1:20">
      <c r="A150" s="69"/>
      <c r="B150" s="75" t="s">
        <v>162</v>
      </c>
      <c r="C150" s="71"/>
      <c r="D150" s="85"/>
      <c r="E150" s="72"/>
      <c r="F150" s="72"/>
      <c r="G150" s="73"/>
      <c r="H150" s="77"/>
      <c r="I150" s="94"/>
      <c r="J150" s="28"/>
      <c r="K150" s="29"/>
      <c r="L150" s="28"/>
      <c r="M150" s="28"/>
      <c r="N150" s="28"/>
      <c r="O150" s="28"/>
      <c r="P150" s="28"/>
      <c r="Q150" s="28"/>
      <c r="R150" s="28"/>
      <c r="S150" s="28"/>
      <c r="T150" s="28"/>
    </row>
    <row r="151" s="31" customFormat="1" spans="1:20">
      <c r="A151" s="69"/>
      <c r="B151" s="75"/>
      <c r="C151" s="71"/>
      <c r="D151" s="85"/>
      <c r="E151" s="72"/>
      <c r="F151" s="72"/>
      <c r="G151" s="73"/>
      <c r="H151" s="77"/>
      <c r="I151" s="94"/>
      <c r="J151" s="28"/>
      <c r="K151" s="29"/>
      <c r="L151" s="28"/>
      <c r="M151" s="28"/>
      <c r="N151" s="28"/>
      <c r="O151" s="28"/>
      <c r="P151" s="28"/>
      <c r="Q151" s="28"/>
      <c r="R151" s="28"/>
      <c r="S151" s="28"/>
      <c r="T151" s="28"/>
    </row>
    <row r="152" s="31" customFormat="1" spans="1:20">
      <c r="A152" s="69"/>
      <c r="B152" s="75"/>
      <c r="C152" s="71"/>
      <c r="D152" s="85"/>
      <c r="E152" s="72"/>
      <c r="F152" s="72"/>
      <c r="G152" s="73"/>
      <c r="H152" s="77"/>
      <c r="I152" s="94"/>
      <c r="J152" s="28"/>
      <c r="K152" s="29"/>
      <c r="L152" s="28"/>
      <c r="M152" s="28"/>
      <c r="N152" s="28"/>
      <c r="O152" s="28"/>
      <c r="P152" s="28"/>
      <c r="Q152" s="28"/>
      <c r="R152" s="28"/>
      <c r="S152" s="28"/>
      <c r="T152" s="28"/>
    </row>
    <row r="153" s="31" customFormat="1" ht="31.5" spans="1:20">
      <c r="A153" s="69" t="s">
        <v>163</v>
      </c>
      <c r="B153" s="70" t="s">
        <v>164</v>
      </c>
      <c r="C153" s="71" t="s">
        <v>27</v>
      </c>
      <c r="D153" s="85">
        <v>2</v>
      </c>
      <c r="E153" s="72">
        <v>473</v>
      </c>
      <c r="F153" s="72">
        <f>IF(E153="","",ROUND(E153+(E153*$D$4),2))</f>
        <v>581.22</v>
      </c>
      <c r="G153" s="73">
        <f>D153*F153</f>
        <v>1162.44</v>
      </c>
      <c r="H153" s="77">
        <v>2</v>
      </c>
      <c r="I153" s="94" t="s">
        <v>165</v>
      </c>
      <c r="J153" s="28"/>
      <c r="K153" s="29"/>
      <c r="L153" s="28"/>
      <c r="M153" s="28"/>
      <c r="N153" s="28"/>
      <c r="O153" s="28"/>
      <c r="P153" s="28"/>
      <c r="Q153" s="28"/>
      <c r="R153" s="28"/>
      <c r="S153" s="28"/>
      <c r="T153" s="28"/>
    </row>
    <row r="154" s="31" customFormat="1" ht="110.25" customHeight="1" spans="1:20">
      <c r="A154" s="69"/>
      <c r="B154" s="75" t="s">
        <v>166</v>
      </c>
      <c r="C154" s="71"/>
      <c r="D154" s="85"/>
      <c r="E154" s="72"/>
      <c r="F154" s="72"/>
      <c r="G154" s="73"/>
      <c r="H154" s="77"/>
      <c r="I154" s="94"/>
      <c r="J154" s="28"/>
      <c r="K154" s="29"/>
      <c r="L154" s="28"/>
      <c r="M154" s="28"/>
      <c r="N154" s="28"/>
      <c r="O154" s="28"/>
      <c r="P154" s="28"/>
      <c r="Q154" s="28"/>
      <c r="R154" s="28"/>
      <c r="S154" s="28"/>
      <c r="T154" s="28"/>
    </row>
    <row r="155" s="31" customFormat="1" spans="1:20">
      <c r="A155" s="69"/>
      <c r="B155" s="75"/>
      <c r="C155" s="71"/>
      <c r="D155" s="85"/>
      <c r="E155" s="72"/>
      <c r="F155" s="72"/>
      <c r="G155" s="73"/>
      <c r="H155" s="77"/>
      <c r="I155" s="94"/>
      <c r="J155" s="28"/>
      <c r="K155" s="29"/>
      <c r="L155" s="28"/>
      <c r="M155" s="28"/>
      <c r="N155" s="28"/>
      <c r="O155" s="28"/>
      <c r="P155" s="28"/>
      <c r="Q155" s="28"/>
      <c r="R155" s="28"/>
      <c r="S155" s="28"/>
      <c r="T155" s="28"/>
    </row>
    <row r="156" s="31" customFormat="1" spans="1:20">
      <c r="A156" s="69"/>
      <c r="B156" s="75"/>
      <c r="C156" s="71"/>
      <c r="D156" s="85"/>
      <c r="E156" s="72"/>
      <c r="F156" s="72"/>
      <c r="G156" s="73"/>
      <c r="H156" s="77"/>
      <c r="I156" s="94"/>
      <c r="J156" s="28"/>
      <c r="K156" s="29"/>
      <c r="L156" s="28"/>
      <c r="M156" s="28"/>
      <c r="N156" s="28"/>
      <c r="O156" s="28"/>
      <c r="P156" s="28"/>
      <c r="Q156" s="28"/>
      <c r="R156" s="28"/>
      <c r="S156" s="28"/>
      <c r="T156" s="28"/>
    </row>
    <row r="157" s="31" customFormat="1" spans="1:20">
      <c r="A157" s="69"/>
      <c r="B157" s="75"/>
      <c r="C157" s="71"/>
      <c r="D157" s="85"/>
      <c r="E157" s="72"/>
      <c r="F157" s="72"/>
      <c r="G157" s="73"/>
      <c r="H157" s="77"/>
      <c r="I157" s="94"/>
      <c r="J157" s="28"/>
      <c r="K157" s="29"/>
      <c r="L157" s="28"/>
      <c r="M157" s="28"/>
      <c r="N157" s="28"/>
      <c r="O157" s="28"/>
      <c r="P157" s="28"/>
      <c r="Q157" s="28"/>
      <c r="R157" s="28"/>
      <c r="S157" s="28"/>
      <c r="T157" s="28"/>
    </row>
    <row r="158" s="31" customFormat="1" ht="56.25" customHeight="1" spans="1:20">
      <c r="A158" s="69" t="s">
        <v>167</v>
      </c>
      <c r="B158" s="70" t="s">
        <v>168</v>
      </c>
      <c r="C158" s="71" t="s">
        <v>27</v>
      </c>
      <c r="D158" s="85">
        <v>2</v>
      </c>
      <c r="E158" s="72">
        <v>277.32</v>
      </c>
      <c r="F158" s="72">
        <f>IF(E158="","",ROUND(E158+(E158*$D$4),2))</f>
        <v>340.77</v>
      </c>
      <c r="G158" s="73">
        <f>D158*F158</f>
        <v>681.54</v>
      </c>
      <c r="H158" s="77">
        <v>2</v>
      </c>
      <c r="I158" s="94" t="s">
        <v>161</v>
      </c>
      <c r="J158" s="28"/>
      <c r="K158" s="29"/>
      <c r="L158" s="28"/>
      <c r="M158" s="28"/>
      <c r="N158" s="28"/>
      <c r="O158" s="28"/>
      <c r="P158" s="28"/>
      <c r="Q158" s="28"/>
      <c r="R158" s="28"/>
      <c r="S158" s="28"/>
      <c r="T158" s="28"/>
    </row>
    <row r="159" s="31" customFormat="1" ht="94.5" spans="1:20">
      <c r="A159" s="69"/>
      <c r="B159" s="75" t="s">
        <v>169</v>
      </c>
      <c r="C159" s="71"/>
      <c r="D159" s="85"/>
      <c r="E159" s="72"/>
      <c r="F159" s="72"/>
      <c r="G159" s="73"/>
      <c r="H159" s="77"/>
      <c r="I159" s="94"/>
      <c r="J159" s="28"/>
      <c r="K159" s="29"/>
      <c r="L159" s="28"/>
      <c r="M159" s="28"/>
      <c r="N159" s="28"/>
      <c r="O159" s="28"/>
      <c r="P159" s="28"/>
      <c r="Q159" s="28"/>
      <c r="R159" s="28"/>
      <c r="S159" s="28"/>
      <c r="T159" s="28"/>
    </row>
    <row r="160" s="31" customFormat="1" spans="1:20">
      <c r="A160" s="69"/>
      <c r="B160" s="75"/>
      <c r="C160" s="71"/>
      <c r="D160" s="85"/>
      <c r="E160" s="72"/>
      <c r="F160" s="72"/>
      <c r="G160" s="73"/>
      <c r="H160" s="77"/>
      <c r="I160" s="94"/>
      <c r="J160" s="28"/>
      <c r="K160" s="29"/>
      <c r="L160" s="28"/>
      <c r="M160" s="28"/>
      <c r="N160" s="28"/>
      <c r="O160" s="28"/>
      <c r="P160" s="28"/>
      <c r="Q160" s="28"/>
      <c r="R160" s="28"/>
      <c r="S160" s="28"/>
      <c r="T160" s="28"/>
    </row>
    <row r="161" s="31" customFormat="1" spans="1:20">
      <c r="A161" s="69" t="s">
        <v>170</v>
      </c>
      <c r="B161" s="99" t="s">
        <v>171</v>
      </c>
      <c r="C161" s="71"/>
      <c r="D161" s="85"/>
      <c r="E161" s="72"/>
      <c r="F161" s="72"/>
      <c r="G161" s="73"/>
      <c r="H161" s="77"/>
      <c r="I161" s="94"/>
      <c r="J161" s="28"/>
      <c r="K161" s="29"/>
      <c r="L161" s="28"/>
      <c r="M161" s="28"/>
      <c r="N161" s="28"/>
      <c r="O161" s="28"/>
      <c r="P161" s="28"/>
      <c r="Q161" s="28"/>
      <c r="R161" s="28"/>
      <c r="S161" s="28"/>
      <c r="T161" s="28"/>
    </row>
    <row r="162" s="31" customFormat="1" ht="47.25" spans="1:20">
      <c r="A162" s="69"/>
      <c r="B162" s="75" t="s">
        <v>172</v>
      </c>
      <c r="C162" s="71"/>
      <c r="D162" s="85"/>
      <c r="E162" s="72"/>
      <c r="F162" s="72"/>
      <c r="G162" s="73"/>
      <c r="H162" s="77"/>
      <c r="I162" s="94"/>
      <c r="J162" s="28"/>
      <c r="K162" s="29"/>
      <c r="L162" s="28"/>
      <c r="M162" s="28"/>
      <c r="N162" s="28"/>
      <c r="O162" s="28"/>
      <c r="P162" s="28"/>
      <c r="Q162" s="28"/>
      <c r="R162" s="28"/>
      <c r="S162" s="28"/>
      <c r="T162" s="28"/>
    </row>
    <row r="163" s="31" customFormat="1" spans="1:20">
      <c r="A163" s="69"/>
      <c r="B163" s="99"/>
      <c r="C163" s="71"/>
      <c r="D163" s="85"/>
      <c r="E163" s="72"/>
      <c r="F163" s="72"/>
      <c r="G163" s="73"/>
      <c r="H163" s="77"/>
      <c r="I163" s="94"/>
      <c r="J163" s="28"/>
      <c r="K163" s="29"/>
      <c r="L163" s="28"/>
      <c r="M163" s="28"/>
      <c r="N163" s="28"/>
      <c r="O163" s="28"/>
      <c r="P163" s="28"/>
      <c r="Q163" s="28"/>
      <c r="R163" s="28"/>
      <c r="S163" s="28"/>
      <c r="T163" s="28"/>
    </row>
    <row r="164" s="31" customFormat="1" spans="1:20">
      <c r="A164" s="69"/>
      <c r="B164" s="75"/>
      <c r="C164" s="71"/>
      <c r="D164" s="85"/>
      <c r="E164" s="72"/>
      <c r="F164" s="72"/>
      <c r="G164" s="73"/>
      <c r="H164" s="77"/>
      <c r="I164" s="94"/>
      <c r="J164" s="28"/>
      <c r="K164" s="29"/>
      <c r="L164" s="28"/>
      <c r="M164" s="28"/>
      <c r="N164" s="28"/>
      <c r="O164" s="28"/>
      <c r="P164" s="28"/>
      <c r="Q164" s="28"/>
      <c r="R164" s="28"/>
      <c r="S164" s="28"/>
      <c r="T164" s="28"/>
    </row>
    <row r="165" s="31" customFormat="1" spans="1:20">
      <c r="A165" s="101"/>
      <c r="B165" s="102"/>
      <c r="C165" s="103"/>
      <c r="D165" s="104"/>
      <c r="E165" s="105"/>
      <c r="F165" s="105"/>
      <c r="G165" s="106"/>
      <c r="H165" s="107"/>
      <c r="I165" s="110"/>
      <c r="J165" s="28"/>
      <c r="K165" s="29"/>
      <c r="L165" s="28"/>
      <c r="M165" s="28"/>
      <c r="N165" s="28"/>
      <c r="O165" s="28"/>
      <c r="P165" s="28"/>
      <c r="Q165" s="28"/>
      <c r="R165" s="28"/>
      <c r="S165" s="28"/>
      <c r="T165" s="28"/>
    </row>
    <row r="166" s="31" customFormat="1" spans="1:20">
      <c r="A166" s="101"/>
      <c r="B166" s="102"/>
      <c r="C166" s="103"/>
      <c r="D166" s="104"/>
      <c r="E166" s="105"/>
      <c r="F166" s="105"/>
      <c r="G166" s="106"/>
      <c r="H166" s="107"/>
      <c r="I166" s="110"/>
      <c r="J166" s="28"/>
      <c r="K166" s="29"/>
      <c r="L166" s="28"/>
      <c r="M166" s="28"/>
      <c r="N166" s="28"/>
      <c r="O166" s="28"/>
      <c r="P166" s="28"/>
      <c r="Q166" s="28"/>
      <c r="R166" s="28"/>
      <c r="S166" s="28"/>
      <c r="T166" s="28"/>
    </row>
    <row r="167" s="31" customFormat="1" spans="1:20">
      <c r="A167" s="101" t="s">
        <v>173</v>
      </c>
      <c r="B167" s="108" t="s">
        <v>174</v>
      </c>
      <c r="C167" s="103" t="s">
        <v>27</v>
      </c>
      <c r="D167" s="104">
        <v>1</v>
      </c>
      <c r="E167" s="105">
        <v>77.22</v>
      </c>
      <c r="F167" s="72">
        <f>IF(E167="","",ROUND(E167+(E167*$D$4),2))</f>
        <v>94.89</v>
      </c>
      <c r="G167" s="73">
        <f>D167*F167</f>
        <v>94.89</v>
      </c>
      <c r="H167" s="107">
        <v>1</v>
      </c>
      <c r="I167" s="110" t="s">
        <v>175</v>
      </c>
      <c r="J167" s="28"/>
      <c r="K167" s="29"/>
      <c r="L167" s="28"/>
      <c r="M167" s="28"/>
      <c r="N167" s="28"/>
      <c r="O167" s="28"/>
      <c r="P167" s="28"/>
      <c r="Q167" s="28"/>
      <c r="R167" s="28"/>
      <c r="S167" s="28"/>
      <c r="T167" s="28"/>
    </row>
    <row r="168" s="33" customFormat="1" spans="1:20">
      <c r="A168" s="101"/>
      <c r="B168" s="102"/>
      <c r="C168" s="103"/>
      <c r="D168" s="104"/>
      <c r="E168" s="105"/>
      <c r="F168" s="105"/>
      <c r="G168" s="106"/>
      <c r="H168" s="107"/>
      <c r="I168" s="110"/>
      <c r="J168" s="111"/>
      <c r="K168" s="112"/>
      <c r="L168" s="111"/>
      <c r="M168" s="111"/>
      <c r="N168" s="111"/>
      <c r="O168" s="111"/>
      <c r="P168" s="111"/>
      <c r="Q168" s="111"/>
      <c r="R168" s="111"/>
      <c r="S168" s="111"/>
      <c r="T168" s="111"/>
    </row>
    <row r="169" s="33" customFormat="1" spans="1:20">
      <c r="A169" s="101"/>
      <c r="B169" s="102"/>
      <c r="C169" s="103"/>
      <c r="D169" s="104"/>
      <c r="E169" s="105"/>
      <c r="F169" s="105"/>
      <c r="G169" s="106"/>
      <c r="H169" s="107"/>
      <c r="I169" s="110"/>
      <c r="J169" s="111"/>
      <c r="K169" s="112"/>
      <c r="L169" s="111"/>
      <c r="M169" s="111"/>
      <c r="N169" s="111"/>
      <c r="O169" s="111"/>
      <c r="P169" s="111"/>
      <c r="Q169" s="111"/>
      <c r="R169" s="111"/>
      <c r="S169" s="111"/>
      <c r="T169" s="111"/>
    </row>
    <row r="170" s="33" customFormat="1" spans="1:20">
      <c r="A170" s="101" t="s">
        <v>176</v>
      </c>
      <c r="B170" s="108" t="s">
        <v>177</v>
      </c>
      <c r="C170" s="103" t="s">
        <v>27</v>
      </c>
      <c r="D170" s="104">
        <v>2</v>
      </c>
      <c r="E170" s="105">
        <v>120.87</v>
      </c>
      <c r="F170" s="72">
        <f>IF(E170="","",ROUND(E170+(E170*$D$4),2))</f>
        <v>148.53</v>
      </c>
      <c r="G170" s="73">
        <f>D170*F170</f>
        <v>297.06</v>
      </c>
      <c r="H170" s="107">
        <v>2</v>
      </c>
      <c r="I170" s="110" t="s">
        <v>178</v>
      </c>
      <c r="J170" s="111"/>
      <c r="K170" s="112"/>
      <c r="L170" s="111"/>
      <c r="M170" s="111"/>
      <c r="N170" s="111"/>
      <c r="O170" s="111"/>
      <c r="P170" s="111"/>
      <c r="Q170" s="111"/>
      <c r="R170" s="111"/>
      <c r="S170" s="111"/>
      <c r="T170" s="111"/>
    </row>
    <row r="171" s="33" customFormat="1" spans="1:20">
      <c r="A171" s="101"/>
      <c r="B171" s="102"/>
      <c r="C171" s="103"/>
      <c r="D171" s="104"/>
      <c r="E171" s="105"/>
      <c r="F171" s="105"/>
      <c r="G171" s="106"/>
      <c r="H171" s="107"/>
      <c r="I171" s="110"/>
      <c r="J171" s="111"/>
      <c r="K171" s="112"/>
      <c r="L171" s="111"/>
      <c r="M171" s="111"/>
      <c r="N171" s="111"/>
      <c r="O171" s="111"/>
      <c r="P171" s="111"/>
      <c r="Q171" s="111"/>
      <c r="R171" s="111"/>
      <c r="S171" s="111"/>
      <c r="T171" s="111"/>
    </row>
    <row r="172" s="33" customFormat="1" spans="1:20">
      <c r="A172" s="69" t="s">
        <v>179</v>
      </c>
      <c r="B172" s="99" t="s">
        <v>180</v>
      </c>
      <c r="C172" s="71"/>
      <c r="D172" s="85"/>
      <c r="E172" s="72"/>
      <c r="F172" s="72"/>
      <c r="G172" s="73"/>
      <c r="H172" s="77"/>
      <c r="I172" s="94"/>
      <c r="J172" s="111"/>
      <c r="K172" s="112"/>
      <c r="L172" s="111"/>
      <c r="M172" s="111"/>
      <c r="N172" s="111"/>
      <c r="O172" s="111"/>
      <c r="P172" s="111"/>
      <c r="Q172" s="111"/>
      <c r="R172" s="111"/>
      <c r="S172" s="111"/>
      <c r="T172" s="111"/>
    </row>
    <row r="173" s="33" customFormat="1" ht="48" customHeight="1" spans="1:20">
      <c r="A173" s="69"/>
      <c r="B173" s="70"/>
      <c r="C173" s="71"/>
      <c r="D173" s="85"/>
      <c r="E173" s="72"/>
      <c r="F173" s="72"/>
      <c r="G173" s="73"/>
      <c r="H173" s="77"/>
      <c r="I173" s="94"/>
      <c r="J173" s="111"/>
      <c r="K173" s="112"/>
      <c r="L173" s="111"/>
      <c r="M173" s="111"/>
      <c r="N173" s="111"/>
      <c r="O173" s="111"/>
      <c r="P173" s="111"/>
      <c r="Q173" s="111"/>
      <c r="R173" s="111"/>
      <c r="S173" s="111"/>
      <c r="T173" s="111"/>
    </row>
    <row r="174" s="33" customFormat="1" spans="1:20">
      <c r="A174" s="69" t="s">
        <v>181</v>
      </c>
      <c r="B174" s="99" t="s">
        <v>182</v>
      </c>
      <c r="C174" s="71"/>
      <c r="D174" s="85"/>
      <c r="E174" s="72"/>
      <c r="F174" s="72"/>
      <c r="G174" s="73"/>
      <c r="H174" s="77"/>
      <c r="I174" s="94"/>
      <c r="J174" s="111"/>
      <c r="K174" s="112"/>
      <c r="L174" s="111"/>
      <c r="M174" s="111"/>
      <c r="N174" s="111"/>
      <c r="O174" s="111"/>
      <c r="P174" s="111"/>
      <c r="Q174" s="111"/>
      <c r="R174" s="111"/>
      <c r="S174" s="111"/>
      <c r="T174" s="111"/>
    </row>
    <row r="175" s="31" customFormat="1" ht="47.25" spans="1:20">
      <c r="A175" s="69" t="s">
        <v>183</v>
      </c>
      <c r="B175" s="70" t="s">
        <v>184</v>
      </c>
      <c r="C175" s="71" t="s">
        <v>27</v>
      </c>
      <c r="D175" s="85">
        <v>1</v>
      </c>
      <c r="E175" s="72">
        <v>1394.91</v>
      </c>
      <c r="F175" s="72">
        <f>IF(E175="","",ROUND(E175+(E175*$D$4),2))</f>
        <v>1714.07</v>
      </c>
      <c r="G175" s="73">
        <f>D175*F175</f>
        <v>1714.07</v>
      </c>
      <c r="H175" s="77">
        <v>1</v>
      </c>
      <c r="I175" s="94" t="s">
        <v>185</v>
      </c>
      <c r="J175" s="28"/>
      <c r="K175" s="29"/>
      <c r="L175" s="28"/>
      <c r="M175" s="28"/>
      <c r="N175" s="28"/>
      <c r="O175" s="28"/>
      <c r="P175" s="28"/>
      <c r="Q175" s="28"/>
      <c r="R175" s="28"/>
      <c r="S175" s="28"/>
      <c r="T175" s="28"/>
    </row>
    <row r="176" s="31" customFormat="1" ht="110.25" spans="1:20">
      <c r="A176" s="69"/>
      <c r="B176" s="75" t="s">
        <v>186</v>
      </c>
      <c r="C176" s="71"/>
      <c r="D176" s="85"/>
      <c r="E176" s="72"/>
      <c r="F176" s="72"/>
      <c r="G176" s="73"/>
      <c r="H176" s="77"/>
      <c r="I176" s="94"/>
      <c r="J176" s="28"/>
      <c r="K176" s="29"/>
      <c r="L176" s="28"/>
      <c r="M176" s="28"/>
      <c r="N176" s="28"/>
      <c r="O176" s="28"/>
      <c r="P176" s="28"/>
      <c r="Q176" s="28"/>
      <c r="R176" s="28"/>
      <c r="S176" s="28"/>
      <c r="T176" s="28"/>
    </row>
    <row r="177" s="31" customFormat="1" spans="1:20">
      <c r="A177" s="69"/>
      <c r="B177" s="75"/>
      <c r="C177" s="71"/>
      <c r="D177" s="85"/>
      <c r="E177" s="72"/>
      <c r="F177" s="72"/>
      <c r="G177" s="73"/>
      <c r="H177" s="77"/>
      <c r="I177" s="94"/>
      <c r="J177" s="28"/>
      <c r="K177" s="29"/>
      <c r="L177" s="28"/>
      <c r="M177" s="28"/>
      <c r="N177" s="28"/>
      <c r="O177" s="28"/>
      <c r="P177" s="28"/>
      <c r="Q177" s="28"/>
      <c r="R177" s="28"/>
      <c r="S177" s="28"/>
      <c r="T177" s="28"/>
    </row>
    <row r="178" s="31" customFormat="1" spans="1:20">
      <c r="A178" s="69"/>
      <c r="B178" s="75"/>
      <c r="C178" s="71"/>
      <c r="D178" s="85"/>
      <c r="E178" s="72"/>
      <c r="F178" s="72"/>
      <c r="G178" s="73"/>
      <c r="H178" s="77"/>
      <c r="I178" s="94"/>
      <c r="J178" s="28"/>
      <c r="K178" s="29"/>
      <c r="L178" s="28"/>
      <c r="M178" s="28"/>
      <c r="N178" s="28"/>
      <c r="O178" s="28"/>
      <c r="P178" s="28"/>
      <c r="Q178" s="28"/>
      <c r="R178" s="28"/>
      <c r="S178" s="28"/>
      <c r="T178" s="28"/>
    </row>
    <row r="179" s="31" customFormat="1" spans="1:20">
      <c r="A179" s="69" t="s">
        <v>187</v>
      </c>
      <c r="B179" s="99" t="s">
        <v>188</v>
      </c>
      <c r="C179" s="71"/>
      <c r="D179" s="85"/>
      <c r="E179" s="72"/>
      <c r="F179" s="72"/>
      <c r="G179" s="73"/>
      <c r="H179" s="77"/>
      <c r="I179" s="94"/>
      <c r="J179" s="28"/>
      <c r="K179" s="29"/>
      <c r="L179" s="28"/>
      <c r="M179" s="28"/>
      <c r="N179" s="28"/>
      <c r="O179" s="28"/>
      <c r="P179" s="28"/>
      <c r="Q179" s="28"/>
      <c r="R179" s="28"/>
      <c r="S179" s="28"/>
      <c r="T179" s="28"/>
    </row>
    <row r="180" s="31" customFormat="1" ht="108" customHeight="1" spans="1:20">
      <c r="A180" s="69"/>
      <c r="B180" s="75" t="s">
        <v>189</v>
      </c>
      <c r="C180" s="71"/>
      <c r="D180" s="85"/>
      <c r="E180" s="72"/>
      <c r="F180" s="72"/>
      <c r="G180" s="73"/>
      <c r="H180" s="77"/>
      <c r="I180" s="94"/>
      <c r="J180" s="28"/>
      <c r="K180" s="29"/>
      <c r="L180" s="28"/>
      <c r="M180" s="28"/>
      <c r="N180" s="28"/>
      <c r="O180" s="28"/>
      <c r="P180" s="28"/>
      <c r="Q180" s="28"/>
      <c r="R180" s="28"/>
      <c r="S180" s="28"/>
      <c r="T180" s="28"/>
    </row>
    <row r="181" s="31" customFormat="1" spans="1:20">
      <c r="A181" s="69"/>
      <c r="B181" s="99"/>
      <c r="C181" s="71"/>
      <c r="D181" s="85"/>
      <c r="E181" s="72"/>
      <c r="F181" s="72"/>
      <c r="G181" s="73"/>
      <c r="H181" s="77"/>
      <c r="I181" s="94"/>
      <c r="J181" s="28"/>
      <c r="K181" s="29"/>
      <c r="L181" s="28"/>
      <c r="M181" s="28"/>
      <c r="N181" s="28"/>
      <c r="O181" s="28"/>
      <c r="P181" s="28"/>
      <c r="Q181" s="28"/>
      <c r="R181" s="28"/>
      <c r="S181" s="28"/>
      <c r="T181" s="28"/>
    </row>
    <row r="182" s="31" customFormat="1" spans="1:20">
      <c r="A182" s="69"/>
      <c r="B182" s="75"/>
      <c r="C182" s="71"/>
      <c r="D182" s="85"/>
      <c r="E182" s="72"/>
      <c r="F182" s="72"/>
      <c r="G182" s="73"/>
      <c r="H182" s="109"/>
      <c r="I182" s="94"/>
      <c r="J182" s="28"/>
      <c r="K182" s="29"/>
      <c r="L182" s="28"/>
      <c r="M182" s="28"/>
      <c r="N182" s="28"/>
      <c r="O182" s="28"/>
      <c r="P182" s="28"/>
      <c r="Q182" s="28"/>
      <c r="R182" s="28"/>
      <c r="S182" s="28"/>
      <c r="T182" s="28"/>
    </row>
    <row r="183" s="31" customFormat="1" spans="1:20">
      <c r="A183" s="69"/>
      <c r="B183" s="75"/>
      <c r="C183" s="71"/>
      <c r="D183" s="85"/>
      <c r="E183" s="72"/>
      <c r="F183" s="72"/>
      <c r="G183" s="73"/>
      <c r="H183" s="109"/>
      <c r="I183" s="94"/>
      <c r="J183" s="28"/>
      <c r="K183" s="29"/>
      <c r="L183" s="28"/>
      <c r="M183" s="28"/>
      <c r="N183" s="28"/>
      <c r="O183" s="28"/>
      <c r="P183" s="28"/>
      <c r="Q183" s="28"/>
      <c r="R183" s="28"/>
      <c r="S183" s="28"/>
      <c r="T183" s="28"/>
    </row>
    <row r="184" s="31" customFormat="1" ht="31.5" spans="1:20">
      <c r="A184" s="69" t="s">
        <v>190</v>
      </c>
      <c r="B184" s="70" t="s">
        <v>191</v>
      </c>
      <c r="C184" s="71" t="s">
        <v>104</v>
      </c>
      <c r="D184" s="85">
        <v>65</v>
      </c>
      <c r="E184" s="72">
        <v>28.41</v>
      </c>
      <c r="F184" s="72">
        <f>IF(E184="","",ROUND(E184+(E184*$D$4),2))</f>
        <v>34.91</v>
      </c>
      <c r="G184" s="73">
        <f>D184*F184</f>
        <v>2269.15</v>
      </c>
      <c r="H184" s="85">
        <v>65</v>
      </c>
      <c r="I184" s="94" t="s">
        <v>192</v>
      </c>
      <c r="J184" s="28"/>
      <c r="K184" s="29"/>
      <c r="L184" s="28"/>
      <c r="M184" s="28"/>
      <c r="N184" s="28"/>
      <c r="O184" s="28"/>
      <c r="P184" s="28"/>
      <c r="Q184" s="28"/>
      <c r="R184" s="28"/>
      <c r="S184" s="28"/>
      <c r="T184" s="28"/>
    </row>
    <row r="185" s="31" customFormat="1" spans="1:20">
      <c r="A185" s="69"/>
      <c r="B185" s="75"/>
      <c r="C185" s="71"/>
      <c r="D185" s="85"/>
      <c r="E185" s="72"/>
      <c r="F185" s="72"/>
      <c r="G185" s="73"/>
      <c r="H185" s="109"/>
      <c r="I185" s="94"/>
      <c r="J185" s="28"/>
      <c r="K185" s="29"/>
      <c r="L185" s="28"/>
      <c r="M185" s="28"/>
      <c r="N185" s="28"/>
      <c r="O185" s="28"/>
      <c r="P185" s="28"/>
      <c r="Q185" s="28"/>
      <c r="R185" s="28"/>
      <c r="S185" s="28"/>
      <c r="T185" s="28"/>
    </row>
    <row r="186" s="31" customFormat="1" spans="1:20">
      <c r="A186" s="69"/>
      <c r="B186" s="75"/>
      <c r="C186" s="71"/>
      <c r="D186" s="85"/>
      <c r="E186" s="72"/>
      <c r="F186" s="72"/>
      <c r="G186" s="73"/>
      <c r="H186" s="109"/>
      <c r="I186" s="94"/>
      <c r="J186" s="28"/>
      <c r="K186" s="29"/>
      <c r="L186" s="28"/>
      <c r="M186" s="28"/>
      <c r="N186" s="28"/>
      <c r="O186" s="28"/>
      <c r="P186" s="28"/>
      <c r="Q186" s="28"/>
      <c r="R186" s="28"/>
      <c r="S186" s="28"/>
      <c r="T186" s="28"/>
    </row>
    <row r="187" s="31" customFormat="1" ht="31.5" spans="1:20">
      <c r="A187" s="69" t="s">
        <v>193</v>
      </c>
      <c r="B187" s="70" t="s">
        <v>194</v>
      </c>
      <c r="C187" s="71" t="s">
        <v>104</v>
      </c>
      <c r="D187" s="85">
        <v>8</v>
      </c>
      <c r="E187" s="72">
        <v>48.2</v>
      </c>
      <c r="F187" s="72">
        <f>IF(E187="","",ROUND(E187+(E187*$D$4),2))</f>
        <v>59.23</v>
      </c>
      <c r="G187" s="73">
        <f>D187*F187</f>
        <v>473.84</v>
      </c>
      <c r="H187" s="85">
        <v>8</v>
      </c>
      <c r="I187" s="94" t="s">
        <v>195</v>
      </c>
      <c r="J187" s="28"/>
      <c r="K187" s="29"/>
      <c r="L187" s="28"/>
      <c r="M187" s="28"/>
      <c r="N187" s="28"/>
      <c r="O187" s="28"/>
      <c r="P187" s="28"/>
      <c r="Q187" s="28"/>
      <c r="R187" s="28"/>
      <c r="S187" s="28"/>
      <c r="T187" s="28"/>
    </row>
    <row r="188" s="31" customFormat="1" spans="1:20">
      <c r="A188" s="69"/>
      <c r="B188" s="75"/>
      <c r="C188" s="71"/>
      <c r="D188" s="85"/>
      <c r="E188" s="72"/>
      <c r="F188" s="72"/>
      <c r="G188" s="73"/>
      <c r="H188" s="109"/>
      <c r="I188" s="94"/>
      <c r="J188" s="28"/>
      <c r="K188" s="29"/>
      <c r="L188" s="28"/>
      <c r="M188" s="28"/>
      <c r="N188" s="28"/>
      <c r="O188" s="28"/>
      <c r="P188" s="28"/>
      <c r="Q188" s="28"/>
      <c r="R188" s="28"/>
      <c r="S188" s="28"/>
      <c r="T188" s="28"/>
    </row>
    <row r="189" s="31" customFormat="1" spans="1:20">
      <c r="A189" s="69"/>
      <c r="B189" s="75"/>
      <c r="C189" s="71"/>
      <c r="D189" s="85"/>
      <c r="E189" s="72"/>
      <c r="F189" s="72"/>
      <c r="G189" s="73"/>
      <c r="H189" s="109"/>
      <c r="I189" s="94"/>
      <c r="J189" s="28"/>
      <c r="K189" s="29"/>
      <c r="L189" s="28"/>
      <c r="M189" s="28"/>
      <c r="N189" s="28"/>
      <c r="O189" s="28"/>
      <c r="P189" s="28"/>
      <c r="Q189" s="28"/>
      <c r="R189" s="28"/>
      <c r="S189" s="28"/>
      <c r="T189" s="28"/>
    </row>
    <row r="190" s="31" customFormat="1" spans="1:20">
      <c r="A190" s="69" t="s">
        <v>196</v>
      </c>
      <c r="B190" s="99" t="s">
        <v>197</v>
      </c>
      <c r="C190" s="71"/>
      <c r="D190" s="85"/>
      <c r="E190" s="72"/>
      <c r="F190" s="72"/>
      <c r="G190" s="73"/>
      <c r="H190" s="77"/>
      <c r="I190" s="94"/>
      <c r="J190" s="28"/>
      <c r="K190" s="29"/>
      <c r="L190" s="28"/>
      <c r="M190" s="28"/>
      <c r="N190" s="28"/>
      <c r="O190" s="28"/>
      <c r="P190" s="28"/>
      <c r="Q190" s="28"/>
      <c r="R190" s="28"/>
      <c r="S190" s="28"/>
      <c r="T190" s="28"/>
    </row>
    <row r="191" s="31" customFormat="1" ht="94.5" spans="1:20">
      <c r="A191" s="69"/>
      <c r="B191" s="75" t="s">
        <v>198</v>
      </c>
      <c r="C191" s="71"/>
      <c r="D191" s="85"/>
      <c r="E191" s="72"/>
      <c r="F191" s="72"/>
      <c r="G191" s="73"/>
      <c r="H191" s="77"/>
      <c r="I191" s="94"/>
      <c r="J191" s="28"/>
      <c r="K191" s="29"/>
      <c r="L191" s="28"/>
      <c r="M191" s="28"/>
      <c r="N191" s="28"/>
      <c r="O191" s="28"/>
      <c r="P191" s="28"/>
      <c r="Q191" s="28"/>
      <c r="R191" s="28"/>
      <c r="S191" s="28"/>
      <c r="T191" s="28"/>
    </row>
    <row r="192" s="31" customFormat="1" spans="1:20">
      <c r="A192" s="69"/>
      <c r="B192" s="99"/>
      <c r="C192" s="71"/>
      <c r="D192" s="85"/>
      <c r="E192" s="72"/>
      <c r="F192" s="72"/>
      <c r="G192" s="73"/>
      <c r="H192" s="77"/>
      <c r="I192" s="94"/>
      <c r="J192" s="28"/>
      <c r="K192" s="29"/>
      <c r="L192" s="28"/>
      <c r="M192" s="28"/>
      <c r="N192" s="28"/>
      <c r="O192" s="28"/>
      <c r="P192" s="28"/>
      <c r="Q192" s="28"/>
      <c r="R192" s="28"/>
      <c r="S192" s="28"/>
      <c r="T192" s="28"/>
    </row>
    <row r="193" s="31" customFormat="1" spans="1:20">
      <c r="A193" s="69" t="s">
        <v>199</v>
      </c>
      <c r="B193" s="70" t="s">
        <v>200</v>
      </c>
      <c r="C193" s="71" t="s">
        <v>27</v>
      </c>
      <c r="D193" s="85">
        <v>1</v>
      </c>
      <c r="E193" s="72">
        <v>816.49</v>
      </c>
      <c r="F193" s="72">
        <f>IF(E193="","",ROUND(E193+(E193*$D$4),2))</f>
        <v>1003.3</v>
      </c>
      <c r="G193" s="73">
        <f>D193*F193</f>
        <v>1003.3</v>
      </c>
      <c r="H193" s="77">
        <v>1</v>
      </c>
      <c r="I193" s="94" t="s">
        <v>201</v>
      </c>
      <c r="J193" s="28"/>
      <c r="K193" s="29"/>
      <c r="L193" s="28"/>
      <c r="M193" s="28"/>
      <c r="N193" s="28"/>
      <c r="O193" s="28"/>
      <c r="P193" s="28"/>
      <c r="Q193" s="28"/>
      <c r="R193" s="28"/>
      <c r="S193" s="28"/>
      <c r="T193" s="28"/>
    </row>
    <row r="194" s="31" customFormat="1" spans="1:20">
      <c r="A194" s="69"/>
      <c r="B194" s="75"/>
      <c r="C194" s="71"/>
      <c r="D194" s="85"/>
      <c r="E194" s="72"/>
      <c r="F194" s="72"/>
      <c r="G194" s="73"/>
      <c r="H194" s="77"/>
      <c r="I194" s="94"/>
      <c r="J194" s="28"/>
      <c r="K194" s="29"/>
      <c r="L194" s="28"/>
      <c r="M194" s="28"/>
      <c r="N194" s="28"/>
      <c r="O194" s="28"/>
      <c r="P194" s="28"/>
      <c r="Q194" s="28"/>
      <c r="R194" s="28"/>
      <c r="S194" s="28"/>
      <c r="T194" s="28"/>
    </row>
    <row r="195" s="31" customFormat="1" spans="1:20">
      <c r="A195" s="69"/>
      <c r="B195" s="78"/>
      <c r="C195" s="71"/>
      <c r="D195" s="85"/>
      <c r="E195" s="72"/>
      <c r="F195" s="72"/>
      <c r="G195" s="73"/>
      <c r="H195" s="77"/>
      <c r="I195" s="94"/>
      <c r="J195" s="28"/>
      <c r="K195" s="29"/>
      <c r="L195" s="28"/>
      <c r="M195" s="28"/>
      <c r="N195" s="28"/>
      <c r="O195" s="28"/>
      <c r="P195" s="28"/>
      <c r="Q195" s="28"/>
      <c r="R195" s="28"/>
      <c r="S195" s="28"/>
      <c r="T195" s="28"/>
    </row>
    <row r="196" s="31" customFormat="1" ht="66" customHeight="1" spans="1:20">
      <c r="A196" s="101" t="s">
        <v>202</v>
      </c>
      <c r="B196" s="113" t="s">
        <v>203</v>
      </c>
      <c r="C196" s="103" t="s">
        <v>27</v>
      </c>
      <c r="D196" s="104">
        <v>1</v>
      </c>
      <c r="E196" s="105">
        <v>5567.99</v>
      </c>
      <c r="F196" s="72">
        <f>IF(E196="","",ROUND(E196+(E196*$D$4),2))</f>
        <v>6841.95</v>
      </c>
      <c r="G196" s="73">
        <f>D196*F196</f>
        <v>6841.95</v>
      </c>
      <c r="H196" s="107">
        <v>1</v>
      </c>
      <c r="I196" s="110" t="s">
        <v>204</v>
      </c>
      <c r="J196" s="28"/>
      <c r="K196" s="29"/>
      <c r="L196" s="28"/>
      <c r="M196" s="28"/>
      <c r="N196" s="28"/>
      <c r="O196" s="28"/>
      <c r="P196" s="28"/>
      <c r="Q196" s="28"/>
      <c r="R196" s="28"/>
      <c r="S196" s="28"/>
      <c r="T196" s="28"/>
    </row>
    <row r="197" s="31" customFormat="1" spans="1:20">
      <c r="A197" s="69"/>
      <c r="B197" s="70"/>
      <c r="C197" s="71"/>
      <c r="D197" s="85"/>
      <c r="E197" s="72"/>
      <c r="F197" s="72"/>
      <c r="G197" s="73"/>
      <c r="H197" s="77"/>
      <c r="I197" s="94"/>
      <c r="J197" s="28"/>
      <c r="K197" s="29"/>
      <c r="L197" s="28"/>
      <c r="M197" s="28"/>
      <c r="N197" s="28"/>
      <c r="O197" s="28"/>
      <c r="P197" s="28"/>
      <c r="Q197" s="28"/>
      <c r="R197" s="28"/>
      <c r="S197" s="28"/>
      <c r="T197" s="28"/>
    </row>
    <row r="198" s="31" customFormat="1" ht="33.75" customHeight="1" spans="1:20">
      <c r="A198" s="69" t="s">
        <v>205</v>
      </c>
      <c r="B198" s="70" t="s">
        <v>206</v>
      </c>
      <c r="C198" s="71" t="s">
        <v>27</v>
      </c>
      <c r="D198" s="85">
        <v>2</v>
      </c>
      <c r="E198" s="72">
        <v>60.45</v>
      </c>
      <c r="F198" s="72">
        <f>IF(E198="","",ROUND(E198+(E198*$D$4),2))</f>
        <v>74.28</v>
      </c>
      <c r="G198" s="73">
        <f>D198*F198</f>
        <v>148.56</v>
      </c>
      <c r="H198" s="77">
        <v>2</v>
      </c>
      <c r="I198" s="94" t="s">
        <v>201</v>
      </c>
      <c r="J198" s="28"/>
      <c r="K198" s="29"/>
      <c r="L198" s="28"/>
      <c r="M198" s="28"/>
      <c r="N198" s="28"/>
      <c r="O198" s="28"/>
      <c r="P198" s="28"/>
      <c r="Q198" s="28"/>
      <c r="R198" s="28"/>
      <c r="S198" s="28"/>
      <c r="T198" s="28"/>
    </row>
    <row r="199" s="33" customFormat="1" ht="63" spans="1:20">
      <c r="A199" s="69"/>
      <c r="B199" s="75" t="s">
        <v>207</v>
      </c>
      <c r="C199" s="71"/>
      <c r="D199" s="85"/>
      <c r="E199" s="72"/>
      <c r="F199" s="72"/>
      <c r="G199" s="73"/>
      <c r="H199" s="77"/>
      <c r="I199" s="94"/>
      <c r="J199" s="111"/>
      <c r="K199" s="112"/>
      <c r="L199" s="111"/>
      <c r="M199" s="111"/>
      <c r="N199" s="111"/>
      <c r="O199" s="111"/>
      <c r="P199" s="111"/>
      <c r="Q199" s="111"/>
      <c r="R199" s="111"/>
      <c r="S199" s="111"/>
      <c r="T199" s="111"/>
    </row>
    <row r="200" s="31" customFormat="1" ht="35.25" customHeight="1" spans="1:20">
      <c r="A200" s="69" t="s">
        <v>208</v>
      </c>
      <c r="B200" s="70" t="s">
        <v>209</v>
      </c>
      <c r="C200" s="71" t="s">
        <v>27</v>
      </c>
      <c r="D200" s="85">
        <v>2</v>
      </c>
      <c r="E200" s="72">
        <v>84.27</v>
      </c>
      <c r="F200" s="72">
        <f>IF(E200="","",ROUND(E200+(E200*$D$4),2))</f>
        <v>103.55</v>
      </c>
      <c r="G200" s="73">
        <f>D200*F200</f>
        <v>207.1</v>
      </c>
      <c r="H200" s="85">
        <v>2</v>
      </c>
      <c r="I200" s="94" t="s">
        <v>201</v>
      </c>
      <c r="J200" s="28"/>
      <c r="K200" s="29"/>
      <c r="L200" s="28"/>
      <c r="M200" s="28"/>
      <c r="N200" s="28"/>
      <c r="O200" s="28"/>
      <c r="P200" s="28"/>
      <c r="Q200" s="28"/>
      <c r="R200" s="28"/>
      <c r="S200" s="28"/>
      <c r="T200" s="28"/>
    </row>
    <row r="201" s="31" customFormat="1" ht="63.75" customHeight="1" spans="1:20">
      <c r="A201" s="69"/>
      <c r="B201" s="75" t="s">
        <v>210</v>
      </c>
      <c r="C201" s="71"/>
      <c r="D201" s="85"/>
      <c r="E201" s="72"/>
      <c r="F201" s="72"/>
      <c r="G201" s="73"/>
      <c r="H201" s="77"/>
      <c r="I201" s="94"/>
      <c r="J201" s="28"/>
      <c r="K201" s="29"/>
      <c r="L201" s="28"/>
      <c r="M201" s="28"/>
      <c r="N201" s="28"/>
      <c r="O201" s="28"/>
      <c r="P201" s="28"/>
      <c r="Q201" s="28"/>
      <c r="R201" s="28"/>
      <c r="S201" s="28"/>
      <c r="T201" s="28"/>
    </row>
    <row r="202" s="31" customFormat="1" spans="1:20">
      <c r="A202" s="69"/>
      <c r="B202" s="75"/>
      <c r="C202" s="71"/>
      <c r="D202" s="85"/>
      <c r="E202" s="72"/>
      <c r="F202" s="72"/>
      <c r="G202" s="73"/>
      <c r="H202" s="77"/>
      <c r="I202" s="94"/>
      <c r="J202" s="28"/>
      <c r="K202" s="29"/>
      <c r="L202" s="28"/>
      <c r="M202" s="28"/>
      <c r="N202" s="28"/>
      <c r="O202" s="28"/>
      <c r="P202" s="28"/>
      <c r="Q202" s="28"/>
      <c r="R202" s="28"/>
      <c r="S202" s="28"/>
      <c r="T202" s="28"/>
    </row>
    <row r="203" s="31" customFormat="1" spans="1:20">
      <c r="A203" s="69"/>
      <c r="B203" s="75"/>
      <c r="C203" s="71"/>
      <c r="D203" s="85"/>
      <c r="E203" s="72"/>
      <c r="F203" s="72"/>
      <c r="G203" s="73"/>
      <c r="H203" s="77"/>
      <c r="I203" s="94"/>
      <c r="J203" s="28"/>
      <c r="K203" s="29"/>
      <c r="L203" s="28"/>
      <c r="M203" s="28"/>
      <c r="N203" s="28"/>
      <c r="O203" s="28"/>
      <c r="P203" s="28"/>
      <c r="Q203" s="28"/>
      <c r="R203" s="28"/>
      <c r="S203" s="28"/>
      <c r="T203" s="28"/>
    </row>
    <row r="204" s="31" customFormat="1" spans="1:20">
      <c r="A204" s="69"/>
      <c r="B204" s="75"/>
      <c r="C204" s="71"/>
      <c r="D204" s="85"/>
      <c r="E204" s="72"/>
      <c r="F204" s="72"/>
      <c r="G204" s="73"/>
      <c r="H204" s="77"/>
      <c r="I204" s="94"/>
      <c r="J204" s="28"/>
      <c r="K204" s="29"/>
      <c r="L204" s="28"/>
      <c r="M204" s="28"/>
      <c r="N204" s="28"/>
      <c r="O204" s="28"/>
      <c r="P204" s="28"/>
      <c r="Q204" s="28"/>
      <c r="R204" s="28"/>
      <c r="S204" s="28"/>
      <c r="T204" s="28"/>
    </row>
    <row r="205" s="31" customFormat="1" spans="1:20">
      <c r="A205" s="69"/>
      <c r="B205" s="75"/>
      <c r="C205" s="71"/>
      <c r="D205" s="85"/>
      <c r="E205" s="72"/>
      <c r="F205" s="72"/>
      <c r="G205" s="73"/>
      <c r="H205" s="77"/>
      <c r="I205" s="94"/>
      <c r="J205" s="28"/>
      <c r="K205" s="29"/>
      <c r="L205" s="28"/>
      <c r="M205" s="28"/>
      <c r="N205" s="28"/>
      <c r="O205" s="28"/>
      <c r="P205" s="28"/>
      <c r="Q205" s="28"/>
      <c r="R205" s="28"/>
      <c r="S205" s="28"/>
      <c r="T205" s="28"/>
    </row>
    <row r="206" s="31" customFormat="1" spans="1:20">
      <c r="A206" s="69"/>
      <c r="B206" s="75"/>
      <c r="C206" s="71"/>
      <c r="D206" s="85"/>
      <c r="E206" s="72"/>
      <c r="F206" s="72"/>
      <c r="G206" s="73"/>
      <c r="H206" s="77"/>
      <c r="I206" s="94"/>
      <c r="J206" s="28"/>
      <c r="K206" s="29"/>
      <c r="L206" s="28"/>
      <c r="M206" s="28"/>
      <c r="N206" s="28"/>
      <c r="O206" s="28"/>
      <c r="P206" s="28"/>
      <c r="Q206" s="28"/>
      <c r="R206" s="28"/>
      <c r="S206" s="28"/>
      <c r="T206" s="28"/>
    </row>
    <row r="207" s="31" customFormat="1" spans="1:20">
      <c r="A207" s="69"/>
      <c r="B207" s="75"/>
      <c r="C207" s="71"/>
      <c r="D207" s="85"/>
      <c r="E207" s="72"/>
      <c r="F207" s="72"/>
      <c r="G207" s="73"/>
      <c r="H207" s="77"/>
      <c r="I207" s="94"/>
      <c r="J207" s="28"/>
      <c r="K207" s="29"/>
      <c r="L207" s="28"/>
      <c r="M207" s="28"/>
      <c r="N207" s="28"/>
      <c r="O207" s="28"/>
      <c r="P207" s="28"/>
      <c r="Q207" s="28"/>
      <c r="R207" s="28"/>
      <c r="S207" s="28"/>
      <c r="T207" s="28"/>
    </row>
    <row r="208" s="31" customFormat="1" spans="1:20">
      <c r="A208" s="69"/>
      <c r="B208" s="75"/>
      <c r="C208" s="71"/>
      <c r="D208" s="85"/>
      <c r="E208" s="72"/>
      <c r="F208" s="72"/>
      <c r="G208" s="73"/>
      <c r="H208" s="77"/>
      <c r="I208" s="94"/>
      <c r="J208" s="28"/>
      <c r="K208" s="29"/>
      <c r="L208" s="28"/>
      <c r="M208" s="28"/>
      <c r="N208" s="28"/>
      <c r="O208" s="28"/>
      <c r="P208" s="28"/>
      <c r="Q208" s="28"/>
      <c r="R208" s="28"/>
      <c r="S208" s="28"/>
      <c r="T208" s="28"/>
    </row>
    <row r="209" s="31" customFormat="1" ht="64.5" customHeight="1" spans="1:20">
      <c r="A209" s="69" t="s">
        <v>211</v>
      </c>
      <c r="B209" s="70" t="s">
        <v>212</v>
      </c>
      <c r="C209" s="71" t="s">
        <v>27</v>
      </c>
      <c r="D209" s="85">
        <v>2</v>
      </c>
      <c r="E209" s="72">
        <v>47.01</v>
      </c>
      <c r="F209" s="72">
        <f>IF(E209="","",ROUND(E209+(E209*$D$4),2))</f>
        <v>57.77</v>
      </c>
      <c r="G209" s="73">
        <f>D209*F209</f>
        <v>115.54</v>
      </c>
      <c r="H209" s="85">
        <v>2</v>
      </c>
      <c r="I209" s="94" t="s">
        <v>201</v>
      </c>
      <c r="J209" s="28"/>
      <c r="K209" s="29"/>
      <c r="L209" s="28"/>
      <c r="M209" s="28"/>
      <c r="N209" s="28"/>
      <c r="O209" s="28"/>
      <c r="P209" s="28"/>
      <c r="Q209" s="28"/>
      <c r="R209" s="28"/>
      <c r="S209" s="28"/>
      <c r="T209" s="28"/>
    </row>
    <row r="210" s="31" customFormat="1" ht="64.5" customHeight="1" spans="1:20">
      <c r="A210" s="69"/>
      <c r="B210" s="75" t="s">
        <v>213</v>
      </c>
      <c r="C210" s="71"/>
      <c r="D210" s="85"/>
      <c r="E210" s="72"/>
      <c r="F210" s="72"/>
      <c r="G210" s="73"/>
      <c r="H210" s="77"/>
      <c r="I210" s="94"/>
      <c r="J210" s="28"/>
      <c r="K210" s="29"/>
      <c r="L210" s="28"/>
      <c r="M210" s="28"/>
      <c r="N210" s="28"/>
      <c r="O210" s="28"/>
      <c r="P210" s="28"/>
      <c r="Q210" s="28"/>
      <c r="R210" s="28"/>
      <c r="S210" s="28"/>
      <c r="T210" s="28"/>
    </row>
    <row r="211" s="31" customFormat="1" spans="1:20">
      <c r="A211" s="69"/>
      <c r="B211" s="75"/>
      <c r="C211" s="71"/>
      <c r="D211" s="85"/>
      <c r="E211" s="72"/>
      <c r="F211" s="72"/>
      <c r="G211" s="73"/>
      <c r="H211" s="77"/>
      <c r="I211" s="94"/>
      <c r="J211" s="28"/>
      <c r="K211" s="29"/>
      <c r="L211" s="28"/>
      <c r="M211" s="28"/>
      <c r="N211" s="28"/>
      <c r="O211" s="28"/>
      <c r="P211" s="28"/>
      <c r="Q211" s="28"/>
      <c r="R211" s="28"/>
      <c r="S211" s="28"/>
      <c r="T211" s="28"/>
    </row>
    <row r="212" s="31" customFormat="1" spans="1:20">
      <c r="A212" s="69"/>
      <c r="B212" s="75"/>
      <c r="C212" s="71"/>
      <c r="D212" s="85"/>
      <c r="E212" s="72"/>
      <c r="F212" s="72"/>
      <c r="G212" s="73"/>
      <c r="H212" s="77"/>
      <c r="I212" s="94"/>
      <c r="J212" s="28"/>
      <c r="K212" s="29"/>
      <c r="L212" s="28"/>
      <c r="M212" s="28"/>
      <c r="N212" s="28"/>
      <c r="O212" s="28"/>
      <c r="P212" s="28"/>
      <c r="Q212" s="28"/>
      <c r="R212" s="28"/>
      <c r="S212" s="28"/>
      <c r="T212" s="28"/>
    </row>
    <row r="213" s="31" customFormat="1" ht="48.75" customHeight="1" spans="1:20">
      <c r="A213" s="101" t="s">
        <v>214</v>
      </c>
      <c r="B213" s="108" t="s">
        <v>215</v>
      </c>
      <c r="C213" s="103" t="s">
        <v>27</v>
      </c>
      <c r="D213" s="104">
        <v>2</v>
      </c>
      <c r="E213" s="105">
        <v>24.02</v>
      </c>
      <c r="F213" s="72">
        <f>IF(E213="","",ROUND(E213+(E213*$D$4),2))</f>
        <v>29.52</v>
      </c>
      <c r="G213" s="73">
        <f>D213*F213</f>
        <v>59.04</v>
      </c>
      <c r="H213" s="104">
        <v>2</v>
      </c>
      <c r="I213" s="110" t="s">
        <v>201</v>
      </c>
      <c r="J213" s="28"/>
      <c r="K213" s="29"/>
      <c r="L213" s="28"/>
      <c r="M213" s="28"/>
      <c r="N213" s="28"/>
      <c r="O213" s="28"/>
      <c r="P213" s="28"/>
      <c r="Q213" s="28"/>
      <c r="R213" s="28"/>
      <c r="S213" s="28"/>
      <c r="T213" s="28"/>
    </row>
    <row r="214" s="31" customFormat="1" ht="60" customHeight="1" spans="1:20">
      <c r="A214" s="69"/>
      <c r="B214" s="75" t="s">
        <v>216</v>
      </c>
      <c r="C214" s="71"/>
      <c r="D214" s="85"/>
      <c r="E214" s="72"/>
      <c r="F214" s="72"/>
      <c r="G214" s="73"/>
      <c r="H214" s="77"/>
      <c r="I214" s="94"/>
      <c r="J214" s="28"/>
      <c r="K214" s="29"/>
      <c r="L214" s="28"/>
      <c r="M214" s="28"/>
      <c r="N214" s="28"/>
      <c r="O214" s="28"/>
      <c r="P214" s="28"/>
      <c r="Q214" s="28"/>
      <c r="R214" s="28"/>
      <c r="S214" s="28"/>
      <c r="T214" s="28"/>
    </row>
    <row r="215" s="31" customFormat="1" spans="1:20">
      <c r="A215" s="69"/>
      <c r="B215" s="75"/>
      <c r="C215" s="71"/>
      <c r="D215" s="85"/>
      <c r="E215" s="72"/>
      <c r="F215" s="72"/>
      <c r="G215" s="73"/>
      <c r="H215" s="77"/>
      <c r="I215" s="94"/>
      <c r="J215" s="28"/>
      <c r="K215" s="29"/>
      <c r="L215" s="28"/>
      <c r="M215" s="28"/>
      <c r="N215" s="28"/>
      <c r="O215" s="28"/>
      <c r="P215" s="28"/>
      <c r="Q215" s="28"/>
      <c r="R215" s="28"/>
      <c r="S215" s="28"/>
      <c r="T215" s="28"/>
    </row>
    <row r="216" s="33" customFormat="1" ht="48.75" customHeight="1" spans="1:20">
      <c r="A216" s="69" t="s">
        <v>217</v>
      </c>
      <c r="B216" s="70" t="s">
        <v>218</v>
      </c>
      <c r="C216" s="71" t="s">
        <v>27</v>
      </c>
      <c r="D216" s="85">
        <v>2</v>
      </c>
      <c r="E216" s="72">
        <v>148.21</v>
      </c>
      <c r="F216" s="72">
        <f>IF(E216="","",ROUND(E216+(E216*$D$4),2))</f>
        <v>182.12</v>
      </c>
      <c r="G216" s="73">
        <f>D216*F216</f>
        <v>364.24</v>
      </c>
      <c r="H216" s="85">
        <v>2</v>
      </c>
      <c r="I216" s="94" t="s">
        <v>219</v>
      </c>
      <c r="J216" s="111"/>
      <c r="K216" s="112"/>
      <c r="L216" s="111"/>
      <c r="M216" s="111"/>
      <c r="N216" s="111"/>
      <c r="O216" s="111"/>
      <c r="P216" s="111"/>
      <c r="Q216" s="111"/>
      <c r="R216" s="111"/>
      <c r="S216" s="111"/>
      <c r="T216" s="111"/>
    </row>
    <row r="217" s="31" customFormat="1" ht="63" spans="1:20">
      <c r="A217" s="69"/>
      <c r="B217" s="75" t="s">
        <v>220</v>
      </c>
      <c r="C217" s="71"/>
      <c r="D217" s="85"/>
      <c r="E217" s="72"/>
      <c r="F217" s="72"/>
      <c r="G217" s="73"/>
      <c r="H217" s="77"/>
      <c r="I217" s="94"/>
      <c r="J217" s="28"/>
      <c r="K217" s="29"/>
      <c r="L217" s="28"/>
      <c r="M217" s="28"/>
      <c r="N217" s="28"/>
      <c r="O217" s="28"/>
      <c r="P217" s="28"/>
      <c r="Q217" s="28"/>
      <c r="R217" s="28"/>
      <c r="S217" s="28"/>
      <c r="T217" s="28"/>
    </row>
    <row r="218" s="31" customFormat="1" spans="1:20">
      <c r="A218" s="69"/>
      <c r="B218" s="70"/>
      <c r="C218" s="71"/>
      <c r="D218" s="85"/>
      <c r="E218" s="72"/>
      <c r="F218" s="72"/>
      <c r="G218" s="73"/>
      <c r="H218" s="77"/>
      <c r="I218" s="94"/>
      <c r="J218" s="28"/>
      <c r="K218" s="29"/>
      <c r="L218" s="28"/>
      <c r="M218" s="28"/>
      <c r="N218" s="28"/>
      <c r="O218" s="28"/>
      <c r="P218" s="28"/>
      <c r="Q218" s="28"/>
      <c r="R218" s="28"/>
      <c r="S218" s="28"/>
      <c r="T218" s="28"/>
    </row>
    <row r="219" s="31" customFormat="1" spans="1:20">
      <c r="A219" s="100"/>
      <c r="B219" s="86"/>
      <c r="C219" s="81" t="s">
        <v>41</v>
      </c>
      <c r="D219" s="81"/>
      <c r="E219" s="81"/>
      <c r="F219" s="81"/>
      <c r="G219" s="82">
        <f>SUM(G141:G218)</f>
        <v>16197.6</v>
      </c>
      <c r="H219" s="77"/>
      <c r="I219" s="94"/>
      <c r="J219" s="28"/>
      <c r="K219" s="29"/>
      <c r="L219" s="28"/>
      <c r="M219" s="28"/>
      <c r="N219" s="28"/>
      <c r="O219" s="28"/>
      <c r="P219" s="28"/>
      <c r="Q219" s="28"/>
      <c r="R219" s="28"/>
      <c r="S219" s="28"/>
      <c r="T219" s="28"/>
    </row>
    <row r="220" s="31" customFormat="1" spans="1:20">
      <c r="A220" s="100"/>
      <c r="B220" s="86"/>
      <c r="C220" s="81"/>
      <c r="D220" s="81"/>
      <c r="E220" s="81"/>
      <c r="F220" s="81"/>
      <c r="G220" s="82"/>
      <c r="H220" s="77"/>
      <c r="I220" s="94"/>
      <c r="J220" s="28"/>
      <c r="K220" s="29"/>
      <c r="L220" s="28"/>
      <c r="M220" s="28"/>
      <c r="N220" s="28"/>
      <c r="O220" s="28"/>
      <c r="P220" s="28"/>
      <c r="Q220" s="28"/>
      <c r="R220" s="28"/>
      <c r="S220" s="28"/>
      <c r="T220" s="28"/>
    </row>
    <row r="221" s="31" customFormat="1" spans="1:20">
      <c r="A221" s="100"/>
      <c r="B221" s="86"/>
      <c r="C221" s="81"/>
      <c r="D221" s="81"/>
      <c r="E221" s="81"/>
      <c r="F221" s="81"/>
      <c r="G221" s="82"/>
      <c r="H221" s="77"/>
      <c r="I221" s="94"/>
      <c r="J221" s="28"/>
      <c r="K221" s="29"/>
      <c r="L221" s="28"/>
      <c r="M221" s="28"/>
      <c r="N221" s="28"/>
      <c r="O221" s="28"/>
      <c r="P221" s="28"/>
      <c r="Q221" s="28"/>
      <c r="R221" s="28"/>
      <c r="S221" s="28"/>
      <c r="T221" s="28"/>
    </row>
    <row r="222" s="31" customFormat="1" spans="1:20">
      <c r="A222" s="100"/>
      <c r="B222" s="86"/>
      <c r="C222" s="81"/>
      <c r="D222" s="81"/>
      <c r="E222" s="81"/>
      <c r="F222" s="81"/>
      <c r="G222" s="82"/>
      <c r="H222" s="77"/>
      <c r="I222" s="94"/>
      <c r="J222" s="28"/>
      <c r="K222" s="29"/>
      <c r="L222" s="28"/>
      <c r="M222" s="28"/>
      <c r="N222" s="28"/>
      <c r="O222" s="28"/>
      <c r="P222" s="28"/>
      <c r="Q222" s="28"/>
      <c r="R222" s="28"/>
      <c r="S222" s="28"/>
      <c r="T222" s="28"/>
    </row>
    <row r="223" s="31" customFormat="1" spans="1:20">
      <c r="A223" s="100"/>
      <c r="B223" s="86"/>
      <c r="C223" s="81"/>
      <c r="D223" s="81"/>
      <c r="E223" s="81"/>
      <c r="F223" s="81"/>
      <c r="G223" s="82"/>
      <c r="H223" s="77"/>
      <c r="I223" s="94"/>
      <c r="J223" s="28"/>
      <c r="K223" s="29"/>
      <c r="L223" s="28"/>
      <c r="M223" s="28"/>
      <c r="N223" s="28"/>
      <c r="O223" s="28"/>
      <c r="P223" s="28"/>
      <c r="Q223" s="28"/>
      <c r="R223" s="28"/>
      <c r="S223" s="28"/>
      <c r="T223" s="28"/>
    </row>
    <row r="224" s="31" customFormat="1" spans="1:20">
      <c r="A224" s="100"/>
      <c r="B224" s="86"/>
      <c r="C224" s="81"/>
      <c r="D224" s="81"/>
      <c r="E224" s="81"/>
      <c r="F224" s="81"/>
      <c r="G224" s="82"/>
      <c r="H224" s="77"/>
      <c r="I224" s="94"/>
      <c r="J224" s="28"/>
      <c r="K224" s="29"/>
      <c r="L224" s="28"/>
      <c r="M224" s="28"/>
      <c r="N224" s="28"/>
      <c r="O224" s="28"/>
      <c r="P224" s="28"/>
      <c r="Q224" s="28"/>
      <c r="R224" s="28"/>
      <c r="S224" s="28"/>
      <c r="T224" s="28"/>
    </row>
    <row r="225" s="31" customFormat="1" spans="1:20">
      <c r="A225" s="100"/>
      <c r="B225" s="86"/>
      <c r="C225" s="81"/>
      <c r="D225" s="81"/>
      <c r="E225" s="81"/>
      <c r="F225" s="81"/>
      <c r="G225" s="82"/>
      <c r="H225" s="77"/>
      <c r="I225" s="94"/>
      <c r="J225" s="28"/>
      <c r="K225" s="29"/>
      <c r="L225" s="28"/>
      <c r="M225" s="28"/>
      <c r="N225" s="28"/>
      <c r="O225" s="28"/>
      <c r="P225" s="28"/>
      <c r="Q225" s="28"/>
      <c r="R225" s="28"/>
      <c r="S225" s="28"/>
      <c r="T225" s="28"/>
    </row>
    <row r="226" s="31" customFormat="1" spans="1:20">
      <c r="A226" s="100"/>
      <c r="B226" s="86"/>
      <c r="C226" s="81"/>
      <c r="D226" s="81"/>
      <c r="E226" s="81"/>
      <c r="F226" s="81"/>
      <c r="G226" s="82"/>
      <c r="H226" s="77"/>
      <c r="I226" s="94"/>
      <c r="J226" s="28"/>
      <c r="K226" s="29"/>
      <c r="L226" s="28"/>
      <c r="M226" s="28"/>
      <c r="N226" s="28"/>
      <c r="O226" s="28"/>
      <c r="P226" s="28"/>
      <c r="Q226" s="28"/>
      <c r="R226" s="28"/>
      <c r="S226" s="28"/>
      <c r="T226" s="28"/>
    </row>
    <row r="227" s="31" customFormat="1" spans="1:20">
      <c r="A227" s="100"/>
      <c r="B227" s="86"/>
      <c r="C227" s="81"/>
      <c r="D227" s="81"/>
      <c r="E227" s="81"/>
      <c r="F227" s="81"/>
      <c r="G227" s="82"/>
      <c r="H227" s="77"/>
      <c r="I227" s="94"/>
      <c r="J227" s="28"/>
      <c r="K227" s="29"/>
      <c r="L227" s="28"/>
      <c r="M227" s="28"/>
      <c r="N227" s="28"/>
      <c r="O227" s="28"/>
      <c r="P227" s="28"/>
      <c r="Q227" s="28"/>
      <c r="R227" s="28"/>
      <c r="S227" s="28"/>
      <c r="T227" s="28"/>
    </row>
    <row r="228" s="31" customFormat="1" spans="1:20">
      <c r="A228" s="100"/>
      <c r="B228" s="86"/>
      <c r="C228" s="81"/>
      <c r="D228" s="81"/>
      <c r="E228" s="81"/>
      <c r="F228" s="81"/>
      <c r="G228" s="82"/>
      <c r="H228" s="77"/>
      <c r="I228" s="94"/>
      <c r="J228" s="28"/>
      <c r="K228" s="29"/>
      <c r="L228" s="28"/>
      <c r="M228" s="28"/>
      <c r="N228" s="28"/>
      <c r="O228" s="28"/>
      <c r="P228" s="28"/>
      <c r="Q228" s="28"/>
      <c r="R228" s="28"/>
      <c r="S228" s="28"/>
      <c r="T228" s="28"/>
    </row>
    <row r="229" s="31" customFormat="1" spans="1:20">
      <c r="A229" s="100"/>
      <c r="B229" s="86"/>
      <c r="C229" s="81"/>
      <c r="D229" s="81"/>
      <c r="E229" s="81"/>
      <c r="F229" s="81"/>
      <c r="G229" s="82"/>
      <c r="H229" s="77"/>
      <c r="I229" s="94"/>
      <c r="J229" s="28"/>
      <c r="K229" s="29"/>
      <c r="L229" s="28"/>
      <c r="M229" s="28"/>
      <c r="N229" s="28"/>
      <c r="O229" s="28"/>
      <c r="P229" s="28"/>
      <c r="Q229" s="28"/>
      <c r="R229" s="28"/>
      <c r="S229" s="28"/>
      <c r="T229" s="28"/>
    </row>
    <row r="230" s="31" customFormat="1" spans="1:20">
      <c r="A230" s="100"/>
      <c r="B230" s="86"/>
      <c r="C230" s="81"/>
      <c r="D230" s="81"/>
      <c r="E230" s="81"/>
      <c r="F230" s="81"/>
      <c r="G230" s="82"/>
      <c r="H230" s="77"/>
      <c r="I230" s="94"/>
      <c r="J230" s="28"/>
      <c r="K230" s="29"/>
      <c r="L230" s="28"/>
      <c r="M230" s="28"/>
      <c r="N230" s="28"/>
      <c r="O230" s="28"/>
      <c r="P230" s="28"/>
      <c r="Q230" s="28"/>
      <c r="R230" s="28"/>
      <c r="S230" s="28"/>
      <c r="T230" s="28"/>
    </row>
    <row r="231" s="31" customFormat="1" spans="1:20">
      <c r="A231" s="100"/>
      <c r="B231" s="86"/>
      <c r="C231" s="81"/>
      <c r="D231" s="81"/>
      <c r="E231" s="81"/>
      <c r="F231" s="81"/>
      <c r="G231" s="82"/>
      <c r="H231" s="77"/>
      <c r="I231" s="94"/>
      <c r="J231" s="28"/>
      <c r="K231" s="29"/>
      <c r="L231" s="28"/>
      <c r="M231" s="28"/>
      <c r="N231" s="28"/>
      <c r="O231" s="28"/>
      <c r="P231" s="28"/>
      <c r="Q231" s="28"/>
      <c r="R231" s="28"/>
      <c r="S231" s="28"/>
      <c r="T231" s="28"/>
    </row>
    <row r="232" s="31" customFormat="1" ht="24.75" customHeight="1" spans="1:20">
      <c r="A232" s="69" t="s">
        <v>221</v>
      </c>
      <c r="B232" s="83" t="s">
        <v>222</v>
      </c>
      <c r="C232" s="84"/>
      <c r="D232" s="85"/>
      <c r="E232" s="72"/>
      <c r="F232" s="72"/>
      <c r="G232" s="73"/>
      <c r="H232" s="77"/>
      <c r="I232" s="94"/>
      <c r="J232" s="28"/>
      <c r="K232" s="29"/>
      <c r="L232" s="28"/>
      <c r="M232" s="28"/>
      <c r="N232" s="28"/>
      <c r="O232" s="28"/>
      <c r="P232" s="28"/>
      <c r="Q232" s="28"/>
      <c r="R232" s="28"/>
      <c r="S232" s="28"/>
      <c r="T232" s="28"/>
    </row>
    <row r="233" s="31" customFormat="1" ht="30" customHeight="1" spans="1:20">
      <c r="A233" s="69" t="s">
        <v>223</v>
      </c>
      <c r="B233" s="99" t="s">
        <v>122</v>
      </c>
      <c r="C233" s="71"/>
      <c r="D233" s="85"/>
      <c r="E233" s="72"/>
      <c r="F233" s="72"/>
      <c r="G233" s="73"/>
      <c r="H233" s="77"/>
      <c r="I233" s="94"/>
      <c r="J233" s="28"/>
      <c r="K233" s="29"/>
      <c r="L233" s="28"/>
      <c r="M233" s="28"/>
      <c r="N233" s="28"/>
      <c r="O233" s="28"/>
      <c r="P233" s="28"/>
      <c r="Q233" s="28"/>
      <c r="R233" s="28"/>
      <c r="S233" s="28"/>
      <c r="T233" s="28"/>
    </row>
    <row r="234" s="31" customFormat="1" ht="61.5" customHeight="1" spans="1:20">
      <c r="A234" s="69" t="s">
        <v>224</v>
      </c>
      <c r="B234" s="70" t="s">
        <v>225</v>
      </c>
      <c r="C234" s="71" t="s">
        <v>27</v>
      </c>
      <c r="D234" s="85">
        <v>10</v>
      </c>
      <c r="E234" s="72">
        <v>399.01</v>
      </c>
      <c r="F234" s="72">
        <f>IF(E234="","",ROUND(E234+(E234*$D$4),2))</f>
        <v>490.3</v>
      </c>
      <c r="G234" s="73">
        <f>D234*F234</f>
        <v>4903</v>
      </c>
      <c r="H234" s="85">
        <v>10</v>
      </c>
      <c r="I234" s="94" t="s">
        <v>226</v>
      </c>
      <c r="J234" s="28"/>
      <c r="K234" s="29"/>
      <c r="L234" s="28"/>
      <c r="M234" s="28"/>
      <c r="N234" s="28"/>
      <c r="O234" s="28"/>
      <c r="P234" s="28"/>
      <c r="Q234" s="28"/>
      <c r="R234" s="28"/>
      <c r="S234" s="28"/>
      <c r="T234" s="28"/>
    </row>
    <row r="235" s="31" customFormat="1" ht="94.5" spans="1:20">
      <c r="A235" s="69"/>
      <c r="B235" s="75" t="s">
        <v>227</v>
      </c>
      <c r="C235" s="71"/>
      <c r="D235" s="85"/>
      <c r="E235" s="72"/>
      <c r="F235" s="72"/>
      <c r="G235" s="73"/>
      <c r="H235" s="77"/>
      <c r="I235" s="94"/>
      <c r="J235" s="28"/>
      <c r="K235" s="29"/>
      <c r="L235" s="28"/>
      <c r="M235" s="28"/>
      <c r="N235" s="28"/>
      <c r="O235" s="28"/>
      <c r="P235" s="28"/>
      <c r="Q235" s="28"/>
      <c r="R235" s="28"/>
      <c r="S235" s="28"/>
      <c r="T235" s="28"/>
    </row>
    <row r="236" s="31" customFormat="1" spans="1:20">
      <c r="A236" s="69"/>
      <c r="B236" s="75"/>
      <c r="C236" s="71"/>
      <c r="D236" s="85"/>
      <c r="E236" s="72"/>
      <c r="F236" s="72"/>
      <c r="G236" s="73"/>
      <c r="H236" s="77"/>
      <c r="I236" s="94"/>
      <c r="J236" s="28"/>
      <c r="K236" s="29"/>
      <c r="L236" s="28"/>
      <c r="M236" s="28"/>
      <c r="N236" s="28"/>
      <c r="O236" s="28"/>
      <c r="P236" s="28"/>
      <c r="Q236" s="28"/>
      <c r="R236" s="28"/>
      <c r="S236" s="28"/>
      <c r="T236" s="28"/>
    </row>
    <row r="237" s="31" customFormat="1" spans="1:20">
      <c r="A237" s="69"/>
      <c r="B237" s="70"/>
      <c r="C237" s="71"/>
      <c r="D237" s="85"/>
      <c r="E237" s="72"/>
      <c r="F237" s="72"/>
      <c r="G237" s="73"/>
      <c r="H237" s="77"/>
      <c r="I237" s="94"/>
      <c r="J237" s="28"/>
      <c r="K237" s="29"/>
      <c r="L237" s="28"/>
      <c r="M237" s="28"/>
      <c r="N237" s="28"/>
      <c r="O237" s="28"/>
      <c r="P237" s="28"/>
      <c r="Q237" s="28"/>
      <c r="R237" s="28"/>
      <c r="S237" s="28"/>
      <c r="T237" s="28"/>
    </row>
    <row r="238" s="31" customFormat="1" ht="33.75" customHeight="1" spans="1:20">
      <c r="A238" s="69" t="s">
        <v>228</v>
      </c>
      <c r="B238" s="99" t="s">
        <v>229</v>
      </c>
      <c r="C238" s="71"/>
      <c r="D238" s="85"/>
      <c r="E238" s="72"/>
      <c r="F238" s="72"/>
      <c r="G238" s="73"/>
      <c r="H238" s="77"/>
      <c r="I238" s="94"/>
      <c r="J238" s="28"/>
      <c r="K238" s="29"/>
      <c r="L238" s="28"/>
      <c r="M238" s="28"/>
      <c r="N238" s="28"/>
      <c r="O238" s="28"/>
      <c r="P238" s="28"/>
      <c r="Q238" s="28"/>
      <c r="R238" s="28"/>
      <c r="S238" s="28"/>
      <c r="T238" s="28"/>
    </row>
    <row r="239" s="31" customFormat="1" ht="94.5" spans="1:20">
      <c r="A239" s="69"/>
      <c r="B239" s="75" t="s">
        <v>230</v>
      </c>
      <c r="C239" s="71"/>
      <c r="D239" s="85"/>
      <c r="E239" s="72"/>
      <c r="F239" s="72"/>
      <c r="G239" s="73"/>
      <c r="H239" s="77"/>
      <c r="I239" s="94"/>
      <c r="J239" s="28"/>
      <c r="K239" s="29"/>
      <c r="L239" s="28"/>
      <c r="M239" s="28"/>
      <c r="N239" s="28"/>
      <c r="O239" s="28"/>
      <c r="P239" s="28"/>
      <c r="Q239" s="28"/>
      <c r="R239" s="28"/>
      <c r="S239" s="28"/>
      <c r="T239" s="28"/>
    </row>
    <row r="240" s="31" customFormat="1" spans="1:20">
      <c r="A240" s="69"/>
      <c r="B240" s="99"/>
      <c r="C240" s="71"/>
      <c r="D240" s="85"/>
      <c r="E240" s="72"/>
      <c r="F240" s="72"/>
      <c r="G240" s="73"/>
      <c r="H240" s="77"/>
      <c r="I240" s="94"/>
      <c r="J240" s="28"/>
      <c r="K240" s="29"/>
      <c r="L240" s="28"/>
      <c r="M240" s="28"/>
      <c r="N240" s="28"/>
      <c r="O240" s="28"/>
      <c r="P240" s="28"/>
      <c r="Q240" s="28"/>
      <c r="R240" s="28"/>
      <c r="S240" s="28"/>
      <c r="T240" s="28"/>
    </row>
    <row r="241" s="31" customFormat="1" ht="31.5" spans="1:20">
      <c r="A241" s="69" t="s">
        <v>231</v>
      </c>
      <c r="B241" s="70" t="s">
        <v>232</v>
      </c>
      <c r="C241" s="71" t="s">
        <v>104</v>
      </c>
      <c r="D241" s="85">
        <v>50</v>
      </c>
      <c r="E241" s="72">
        <v>22.03</v>
      </c>
      <c r="F241" s="72">
        <f>IF(E241="","",ROUND(E241+(E241*$D$4),2))</f>
        <v>27.07</v>
      </c>
      <c r="G241" s="73">
        <f>D241*F241</f>
        <v>1353.5</v>
      </c>
      <c r="H241" s="85">
        <v>50</v>
      </c>
      <c r="I241" s="94" t="s">
        <v>233</v>
      </c>
      <c r="J241" s="28"/>
      <c r="K241" s="29"/>
      <c r="L241" s="28"/>
      <c r="M241" s="28"/>
      <c r="N241" s="28"/>
      <c r="O241" s="28"/>
      <c r="P241" s="28"/>
      <c r="Q241" s="28"/>
      <c r="R241" s="28"/>
      <c r="S241" s="28"/>
      <c r="T241" s="28"/>
    </row>
    <row r="242" s="31" customFormat="1" spans="1:20">
      <c r="A242" s="69"/>
      <c r="B242" s="75"/>
      <c r="C242" s="71"/>
      <c r="D242" s="85"/>
      <c r="E242" s="72"/>
      <c r="F242" s="72"/>
      <c r="G242" s="73"/>
      <c r="H242" s="114"/>
      <c r="I242" s="94"/>
      <c r="J242" s="28"/>
      <c r="K242" s="29"/>
      <c r="L242" s="28"/>
      <c r="M242" s="28"/>
      <c r="N242" s="28"/>
      <c r="O242" s="28"/>
      <c r="P242" s="28"/>
      <c r="Q242" s="28"/>
      <c r="R242" s="28"/>
      <c r="S242" s="28"/>
      <c r="T242" s="28"/>
    </row>
    <row r="243" s="31" customFormat="1" spans="1:20">
      <c r="A243" s="69"/>
      <c r="B243" s="75"/>
      <c r="C243" s="71"/>
      <c r="D243" s="85"/>
      <c r="E243" s="72"/>
      <c r="F243" s="72"/>
      <c r="G243" s="73"/>
      <c r="H243" s="77"/>
      <c r="I243" s="94"/>
      <c r="J243" s="28"/>
      <c r="K243" s="29"/>
      <c r="L243" s="28"/>
      <c r="M243" s="28"/>
      <c r="N243" s="28"/>
      <c r="O243" s="28"/>
      <c r="P243" s="28"/>
      <c r="Q243" s="28"/>
      <c r="R243" s="28"/>
      <c r="S243" s="28"/>
      <c r="T243" s="28"/>
    </row>
    <row r="244" s="31" customFormat="1" ht="31.5" spans="1:20">
      <c r="A244" s="69" t="s">
        <v>234</v>
      </c>
      <c r="B244" s="70" t="s">
        <v>235</v>
      </c>
      <c r="C244" s="71" t="s">
        <v>104</v>
      </c>
      <c r="D244" s="85">
        <v>100</v>
      </c>
      <c r="E244" s="72">
        <v>44.96</v>
      </c>
      <c r="F244" s="72">
        <f>IF(E244="","",ROUND(E244+(E244*$D$4),2))</f>
        <v>55.25</v>
      </c>
      <c r="G244" s="73">
        <f>D244*F244</f>
        <v>5525</v>
      </c>
      <c r="H244" s="85">
        <v>100</v>
      </c>
      <c r="I244" s="94" t="s">
        <v>236</v>
      </c>
      <c r="J244" s="28"/>
      <c r="K244" s="29"/>
      <c r="L244" s="28"/>
      <c r="M244" s="28"/>
      <c r="N244" s="28"/>
      <c r="O244" s="28"/>
      <c r="P244" s="28"/>
      <c r="Q244" s="28"/>
      <c r="R244" s="28"/>
      <c r="S244" s="28"/>
      <c r="T244" s="28"/>
    </row>
    <row r="245" s="31" customFormat="1" spans="1:20">
      <c r="A245" s="69"/>
      <c r="B245" s="70"/>
      <c r="C245" s="71"/>
      <c r="D245" s="85"/>
      <c r="E245" s="72"/>
      <c r="F245" s="72"/>
      <c r="G245" s="73"/>
      <c r="H245" s="77"/>
      <c r="I245" s="94"/>
      <c r="J245" s="28"/>
      <c r="K245" s="29"/>
      <c r="L245" s="28"/>
      <c r="M245" s="28"/>
      <c r="N245" s="28"/>
      <c r="O245" s="28"/>
      <c r="P245" s="28"/>
      <c r="Q245" s="28"/>
      <c r="R245" s="28"/>
      <c r="S245" s="28"/>
      <c r="T245" s="28"/>
    </row>
    <row r="246" s="31" customFormat="1" ht="47.25" spans="1:20">
      <c r="A246" s="69" t="s">
        <v>237</v>
      </c>
      <c r="B246" s="70" t="s">
        <v>238</v>
      </c>
      <c r="C246" s="71" t="s">
        <v>104</v>
      </c>
      <c r="D246" s="85">
        <v>25</v>
      </c>
      <c r="E246" s="72">
        <v>74.46</v>
      </c>
      <c r="F246" s="72">
        <f>IF(E246="","",ROUND(E246+(E246*$D$4),2))</f>
        <v>91.5</v>
      </c>
      <c r="G246" s="73">
        <f>D246*F246</f>
        <v>2287.5</v>
      </c>
      <c r="H246" s="85">
        <v>25</v>
      </c>
      <c r="I246" s="94" t="s">
        <v>239</v>
      </c>
      <c r="J246" s="28"/>
      <c r="K246" s="29"/>
      <c r="L246" s="28"/>
      <c r="M246" s="28"/>
      <c r="N246" s="28"/>
      <c r="O246" s="28"/>
      <c r="P246" s="28"/>
      <c r="Q246" s="28"/>
      <c r="R246" s="28"/>
      <c r="S246" s="28"/>
      <c r="T246" s="28"/>
    </row>
    <row r="247" s="31" customFormat="1" spans="1:20">
      <c r="A247" s="69"/>
      <c r="B247" s="70"/>
      <c r="C247" s="71"/>
      <c r="D247" s="85"/>
      <c r="E247" s="72"/>
      <c r="F247" s="72"/>
      <c r="G247" s="73"/>
      <c r="H247" s="85"/>
      <c r="I247" s="94"/>
      <c r="J247" s="28"/>
      <c r="K247" s="29"/>
      <c r="L247" s="28"/>
      <c r="M247" s="28"/>
      <c r="N247" s="28"/>
      <c r="O247" s="28"/>
      <c r="P247" s="28"/>
      <c r="Q247" s="28"/>
      <c r="R247" s="28"/>
      <c r="S247" s="28"/>
      <c r="T247" s="28"/>
    </row>
    <row r="248" s="31" customFormat="1" spans="1:20">
      <c r="A248" s="69"/>
      <c r="B248" s="70"/>
      <c r="C248" s="71"/>
      <c r="D248" s="85"/>
      <c r="E248" s="72"/>
      <c r="F248" s="72"/>
      <c r="G248" s="73"/>
      <c r="H248" s="85"/>
      <c r="I248" s="94"/>
      <c r="J248" s="28"/>
      <c r="K248" s="29"/>
      <c r="L248" s="28"/>
      <c r="M248" s="28"/>
      <c r="N248" s="28"/>
      <c r="O248" s="28"/>
      <c r="P248" s="28"/>
      <c r="Q248" s="28"/>
      <c r="R248" s="28"/>
      <c r="S248" s="28"/>
      <c r="T248" s="28"/>
    </row>
    <row r="249" s="31" customFormat="1" spans="1:20">
      <c r="A249" s="69"/>
      <c r="B249" s="70"/>
      <c r="C249" s="71"/>
      <c r="D249" s="85"/>
      <c r="E249" s="72"/>
      <c r="F249" s="72"/>
      <c r="G249" s="73"/>
      <c r="H249" s="85"/>
      <c r="I249" s="94"/>
      <c r="J249" s="28"/>
      <c r="K249" s="29"/>
      <c r="L249" s="28"/>
      <c r="M249" s="28"/>
      <c r="N249" s="28"/>
      <c r="O249" s="28"/>
      <c r="P249" s="28"/>
      <c r="Q249" s="28"/>
      <c r="R249" s="28"/>
      <c r="S249" s="28"/>
      <c r="T249" s="28"/>
    </row>
    <row r="250" s="31" customFormat="1" spans="1:20">
      <c r="A250" s="69"/>
      <c r="B250" s="75"/>
      <c r="C250" s="71"/>
      <c r="D250" s="85"/>
      <c r="E250" s="72"/>
      <c r="F250" s="72"/>
      <c r="G250" s="73"/>
      <c r="H250" s="77"/>
      <c r="I250" s="94"/>
      <c r="J250" s="28"/>
      <c r="K250" s="29"/>
      <c r="L250" s="28"/>
      <c r="M250" s="28"/>
      <c r="N250" s="28"/>
      <c r="O250" s="28"/>
      <c r="P250" s="28"/>
      <c r="Q250" s="28"/>
      <c r="R250" s="28"/>
      <c r="S250" s="28"/>
      <c r="T250" s="28"/>
    </row>
    <row r="251" s="31" customFormat="1" spans="1:20">
      <c r="A251" s="69" t="s">
        <v>240</v>
      </c>
      <c r="B251" s="99" t="s">
        <v>241</v>
      </c>
      <c r="C251" s="71"/>
      <c r="D251" s="85"/>
      <c r="E251" s="72"/>
      <c r="F251" s="72"/>
      <c r="G251" s="73"/>
      <c r="H251" s="77"/>
      <c r="I251" s="94"/>
      <c r="J251" s="28"/>
      <c r="K251" s="29"/>
      <c r="L251" s="28"/>
      <c r="M251" s="28"/>
      <c r="N251" s="28"/>
      <c r="O251" s="28"/>
      <c r="P251" s="28"/>
      <c r="Q251" s="28"/>
      <c r="R251" s="28"/>
      <c r="S251" s="28"/>
      <c r="T251" s="28"/>
    </row>
    <row r="252" s="31" customFormat="1" spans="1:20">
      <c r="A252" s="69"/>
      <c r="B252" s="75"/>
      <c r="C252" s="71"/>
      <c r="D252" s="85"/>
      <c r="E252" s="72"/>
      <c r="F252" s="72"/>
      <c r="G252" s="73"/>
      <c r="H252" s="77"/>
      <c r="I252" s="94"/>
      <c r="J252" s="28"/>
      <c r="K252" s="29"/>
      <c r="L252" s="28"/>
      <c r="M252" s="28"/>
      <c r="N252" s="28"/>
      <c r="O252" s="28"/>
      <c r="P252" s="28"/>
      <c r="Q252" s="28"/>
      <c r="R252" s="28"/>
      <c r="S252" s="28"/>
      <c r="T252" s="28"/>
    </row>
    <row r="253" s="31" customFormat="1" spans="1:20">
      <c r="A253" s="69" t="s">
        <v>242</v>
      </c>
      <c r="B253" s="99" t="s">
        <v>243</v>
      </c>
      <c r="C253" s="71"/>
      <c r="D253" s="85"/>
      <c r="E253" s="72"/>
      <c r="F253" s="72"/>
      <c r="G253" s="73"/>
      <c r="H253" s="77"/>
      <c r="I253" s="94"/>
      <c r="J253" s="28"/>
      <c r="K253" s="29"/>
      <c r="L253" s="28"/>
      <c r="M253" s="28"/>
      <c r="N253" s="28"/>
      <c r="O253" s="28"/>
      <c r="P253" s="28"/>
      <c r="Q253" s="28"/>
      <c r="R253" s="28"/>
      <c r="S253" s="28"/>
      <c r="T253" s="28"/>
    </row>
    <row r="254" s="31" customFormat="1" spans="1:20">
      <c r="A254" s="69" t="s">
        <v>244</v>
      </c>
      <c r="B254" s="70" t="s">
        <v>245</v>
      </c>
      <c r="C254" s="71" t="s">
        <v>27</v>
      </c>
      <c r="D254" s="85">
        <v>2</v>
      </c>
      <c r="E254" s="72">
        <v>65.65</v>
      </c>
      <c r="F254" s="72">
        <f>IF(E254="","",ROUND(E254+(E254*$D$4),2))</f>
        <v>80.67</v>
      </c>
      <c r="G254" s="73">
        <f>D254*F254</f>
        <v>161.34</v>
      </c>
      <c r="H254" s="85">
        <v>2</v>
      </c>
      <c r="I254" s="94" t="s">
        <v>219</v>
      </c>
      <c r="J254" s="28"/>
      <c r="K254" s="29"/>
      <c r="L254" s="28"/>
      <c r="M254" s="28"/>
      <c r="N254" s="28"/>
      <c r="O254" s="28"/>
      <c r="P254" s="28"/>
      <c r="Q254" s="28"/>
      <c r="R254" s="28"/>
      <c r="S254" s="28"/>
      <c r="T254" s="28"/>
    </row>
    <row r="255" s="31" customFormat="1" ht="47.25" spans="1:20">
      <c r="A255" s="69"/>
      <c r="B255" s="75" t="s">
        <v>246</v>
      </c>
      <c r="C255" s="71"/>
      <c r="D255" s="85"/>
      <c r="E255" s="72"/>
      <c r="F255" s="72"/>
      <c r="G255" s="73"/>
      <c r="H255" s="77"/>
      <c r="I255" s="94"/>
      <c r="J255" s="28"/>
      <c r="K255" s="29"/>
      <c r="L255" s="28"/>
      <c r="M255" s="28"/>
      <c r="N255" s="28"/>
      <c r="O255" s="28"/>
      <c r="P255" s="28"/>
      <c r="Q255" s="28"/>
      <c r="R255" s="28"/>
      <c r="S255" s="28"/>
      <c r="T255" s="28"/>
    </row>
    <row r="256" s="31" customFormat="1" spans="1:20">
      <c r="A256" s="69"/>
      <c r="B256" s="70"/>
      <c r="C256" s="81" t="s">
        <v>41</v>
      </c>
      <c r="D256" s="81"/>
      <c r="E256" s="81"/>
      <c r="F256" s="81"/>
      <c r="G256" s="82">
        <f>SUM(G233:G255)</f>
        <v>14230.34</v>
      </c>
      <c r="H256" s="77"/>
      <c r="I256" s="94"/>
      <c r="J256" s="28"/>
      <c r="K256" s="29"/>
      <c r="L256" s="28"/>
      <c r="M256" s="28"/>
      <c r="N256" s="28"/>
      <c r="O256" s="28"/>
      <c r="P256" s="28"/>
      <c r="Q256" s="28"/>
      <c r="R256" s="28"/>
      <c r="S256" s="28"/>
      <c r="T256" s="28"/>
    </row>
    <row r="257" s="31" customFormat="1" spans="1:20">
      <c r="A257" s="69"/>
      <c r="B257" s="70"/>
      <c r="C257" s="81"/>
      <c r="D257" s="81"/>
      <c r="E257" s="81"/>
      <c r="F257" s="81"/>
      <c r="G257" s="82"/>
      <c r="H257" s="77"/>
      <c r="I257" s="94"/>
      <c r="J257" s="28"/>
      <c r="K257" s="29"/>
      <c r="L257" s="28"/>
      <c r="M257" s="28"/>
      <c r="N257" s="28"/>
      <c r="O257" s="28"/>
      <c r="P257" s="28"/>
      <c r="Q257" s="28"/>
      <c r="R257" s="28"/>
      <c r="S257" s="28"/>
      <c r="T257" s="28"/>
    </row>
    <row r="258" s="31" customFormat="1" ht="18" customHeight="1" spans="1:20">
      <c r="A258" s="69"/>
      <c r="B258" s="70"/>
      <c r="C258" s="81"/>
      <c r="D258" s="81"/>
      <c r="E258" s="81"/>
      <c r="F258" s="81"/>
      <c r="G258" s="82"/>
      <c r="H258" s="77"/>
      <c r="I258" s="94"/>
      <c r="J258" s="28"/>
      <c r="K258" s="29"/>
      <c r="L258" s="28"/>
      <c r="M258" s="28"/>
      <c r="N258" s="28"/>
      <c r="O258" s="28"/>
      <c r="P258" s="28"/>
      <c r="Q258" s="28"/>
      <c r="R258" s="28"/>
      <c r="S258" s="28"/>
      <c r="T258" s="28"/>
    </row>
    <row r="259" s="31" customFormat="1" ht="18" customHeight="1" spans="1:20">
      <c r="A259" s="69">
        <v>100000</v>
      </c>
      <c r="B259" s="83" t="s">
        <v>247</v>
      </c>
      <c r="C259" s="84"/>
      <c r="D259" s="85"/>
      <c r="E259" s="72"/>
      <c r="F259" s="72"/>
      <c r="G259" s="73"/>
      <c r="H259" s="77"/>
      <c r="I259" s="94"/>
      <c r="J259" s="28"/>
      <c r="K259" s="29"/>
      <c r="L259" s="28"/>
      <c r="M259" s="28"/>
      <c r="N259" s="28"/>
      <c r="O259" s="28"/>
      <c r="P259" s="28"/>
      <c r="Q259" s="28"/>
      <c r="R259" s="28"/>
      <c r="S259" s="28"/>
      <c r="T259" s="28"/>
    </row>
    <row r="260" s="31" customFormat="1" ht="18" customHeight="1" spans="1:20">
      <c r="A260" s="69" t="s">
        <v>248</v>
      </c>
      <c r="B260" s="99" t="s">
        <v>249</v>
      </c>
      <c r="C260" s="71"/>
      <c r="D260" s="85"/>
      <c r="E260" s="72"/>
      <c r="F260" s="72"/>
      <c r="G260" s="73"/>
      <c r="H260" s="77"/>
      <c r="I260" s="94"/>
      <c r="J260" s="28"/>
      <c r="K260" s="29"/>
      <c r="L260" s="28"/>
      <c r="M260" s="28"/>
      <c r="N260" s="28"/>
      <c r="O260" s="28"/>
      <c r="P260" s="28"/>
      <c r="Q260" s="28"/>
      <c r="R260" s="28"/>
      <c r="S260" s="28"/>
      <c r="T260" s="28"/>
    </row>
    <row r="261" s="31" customFormat="1" ht="18" customHeight="1" spans="1:20">
      <c r="A261" s="69"/>
      <c r="B261" s="70"/>
      <c r="C261" s="71"/>
      <c r="D261" s="85"/>
      <c r="E261" s="72"/>
      <c r="F261" s="72"/>
      <c r="G261" s="73"/>
      <c r="H261" s="77"/>
      <c r="I261" s="94"/>
      <c r="J261" s="28"/>
      <c r="K261" s="29"/>
      <c r="L261" s="28"/>
      <c r="M261" s="28"/>
      <c r="N261" s="28"/>
      <c r="O261" s="28"/>
      <c r="P261" s="28"/>
      <c r="Q261" s="28"/>
      <c r="R261" s="28"/>
      <c r="S261" s="28"/>
      <c r="T261" s="28"/>
    </row>
    <row r="262" s="31" customFormat="1" ht="36" customHeight="1" spans="1:20">
      <c r="A262" s="69" t="s">
        <v>250</v>
      </c>
      <c r="B262" s="99" t="s">
        <v>251</v>
      </c>
      <c r="C262" s="71"/>
      <c r="D262" s="85"/>
      <c r="E262" s="72"/>
      <c r="F262" s="72"/>
      <c r="G262" s="73"/>
      <c r="H262" s="77"/>
      <c r="I262" s="94"/>
      <c r="J262" s="28"/>
      <c r="K262" s="29"/>
      <c r="L262" s="28"/>
      <c r="M262" s="28"/>
      <c r="N262" s="28"/>
      <c r="O262" s="28"/>
      <c r="P262" s="28"/>
      <c r="Q262" s="28"/>
      <c r="R262" s="28"/>
      <c r="S262" s="28"/>
      <c r="T262" s="28"/>
    </row>
    <row r="263" s="31" customFormat="1" ht="78.75" spans="1:20">
      <c r="A263" s="69"/>
      <c r="B263" s="75" t="s">
        <v>252</v>
      </c>
      <c r="C263" s="71"/>
      <c r="D263" s="85"/>
      <c r="E263" s="72"/>
      <c r="F263" s="72"/>
      <c r="G263" s="73"/>
      <c r="H263" s="77"/>
      <c r="I263" s="94"/>
      <c r="J263" s="28"/>
      <c r="K263" s="29"/>
      <c r="L263" s="28"/>
      <c r="M263" s="28"/>
      <c r="N263" s="28"/>
      <c r="O263" s="28"/>
      <c r="P263" s="28"/>
      <c r="Q263" s="28"/>
      <c r="R263" s="28"/>
      <c r="S263" s="28"/>
      <c r="T263" s="28"/>
    </row>
    <row r="264" s="31" customFormat="1" spans="1:20">
      <c r="A264" s="69"/>
      <c r="B264" s="99"/>
      <c r="C264" s="71"/>
      <c r="D264" s="85"/>
      <c r="E264" s="72"/>
      <c r="F264" s="72"/>
      <c r="G264" s="73"/>
      <c r="H264" s="77"/>
      <c r="I264" s="94"/>
      <c r="J264" s="28"/>
      <c r="K264" s="29"/>
      <c r="L264" s="28"/>
      <c r="M264" s="28"/>
      <c r="N264" s="28"/>
      <c r="O264" s="28"/>
      <c r="P264" s="28"/>
      <c r="Q264" s="28"/>
      <c r="R264" s="28"/>
      <c r="S264" s="28"/>
      <c r="T264" s="28"/>
    </row>
    <row r="265" s="31" customFormat="1" spans="1:20">
      <c r="A265" s="69"/>
      <c r="B265" s="115"/>
      <c r="C265" s="71"/>
      <c r="D265" s="85"/>
      <c r="E265" s="72"/>
      <c r="F265" s="72"/>
      <c r="G265" s="73"/>
      <c r="H265" s="77"/>
      <c r="I265" s="94"/>
      <c r="J265" s="28"/>
      <c r="K265" s="29"/>
      <c r="L265" s="28"/>
      <c r="M265" s="28"/>
      <c r="N265" s="28"/>
      <c r="O265" s="28"/>
      <c r="P265" s="28"/>
      <c r="Q265" s="28"/>
      <c r="R265" s="28"/>
      <c r="S265" s="28"/>
      <c r="T265" s="28"/>
    </row>
    <row r="266" s="31" customFormat="1" ht="31.5" spans="1:20">
      <c r="A266" s="69" t="s">
        <v>253</v>
      </c>
      <c r="B266" s="78" t="s">
        <v>254</v>
      </c>
      <c r="C266" s="71" t="s">
        <v>27</v>
      </c>
      <c r="D266" s="85">
        <v>3</v>
      </c>
      <c r="E266" s="72">
        <v>174.13</v>
      </c>
      <c r="F266" s="72">
        <f>IF(E266="","",ROUND(E266+(E266*$D$4),2))</f>
        <v>213.97</v>
      </c>
      <c r="G266" s="73">
        <f>D266*F266</f>
        <v>641.91</v>
      </c>
      <c r="H266" s="77">
        <v>3</v>
      </c>
      <c r="I266" s="94" t="s">
        <v>255</v>
      </c>
      <c r="J266" s="28"/>
      <c r="K266" s="29"/>
      <c r="L266" s="28"/>
      <c r="M266" s="28"/>
      <c r="N266" s="28"/>
      <c r="O266" s="28"/>
      <c r="P266" s="28"/>
      <c r="Q266" s="28"/>
      <c r="R266" s="28"/>
      <c r="S266" s="28"/>
      <c r="T266" s="28"/>
    </row>
    <row r="267" s="31" customFormat="1" spans="1:20">
      <c r="A267" s="69"/>
      <c r="B267" s="115"/>
      <c r="C267" s="71"/>
      <c r="D267" s="85"/>
      <c r="E267" s="72"/>
      <c r="F267" s="72"/>
      <c r="G267" s="73"/>
      <c r="H267" s="74"/>
      <c r="I267" s="94"/>
      <c r="J267" s="28"/>
      <c r="K267" s="29"/>
      <c r="L267" s="28"/>
      <c r="M267" s="28"/>
      <c r="N267" s="28"/>
      <c r="O267" s="28"/>
      <c r="P267" s="28"/>
      <c r="Q267" s="28"/>
      <c r="R267" s="28"/>
      <c r="S267" s="28"/>
      <c r="T267" s="28"/>
    </row>
    <row r="268" s="31" customFormat="1" spans="1:20">
      <c r="A268" s="69"/>
      <c r="B268" s="75"/>
      <c r="C268" s="71"/>
      <c r="D268" s="85"/>
      <c r="E268" s="72"/>
      <c r="F268" s="72"/>
      <c r="G268" s="73"/>
      <c r="H268" s="77"/>
      <c r="I268" s="94"/>
      <c r="J268" s="28"/>
      <c r="K268" s="29"/>
      <c r="L268" s="28"/>
      <c r="M268" s="28"/>
      <c r="N268" s="28"/>
      <c r="O268" s="28"/>
      <c r="P268" s="28"/>
      <c r="Q268" s="28"/>
      <c r="R268" s="28"/>
      <c r="S268" s="28"/>
      <c r="T268" s="28"/>
    </row>
    <row r="269" s="31" customFormat="1" spans="1:20">
      <c r="A269" s="69" t="s">
        <v>256</v>
      </c>
      <c r="B269" s="99" t="s">
        <v>257</v>
      </c>
      <c r="C269" s="71"/>
      <c r="D269" s="85"/>
      <c r="E269" s="72"/>
      <c r="F269" s="72"/>
      <c r="G269" s="73"/>
      <c r="H269" s="77"/>
      <c r="I269" s="94"/>
      <c r="J269" s="28"/>
      <c r="K269" s="29"/>
      <c r="L269" s="28"/>
      <c r="M269" s="28"/>
      <c r="N269" s="28"/>
      <c r="O269" s="28"/>
      <c r="P269" s="28"/>
      <c r="Q269" s="28"/>
      <c r="R269" s="28"/>
      <c r="S269" s="28"/>
      <c r="T269" s="28"/>
    </row>
    <row r="270" s="31" customFormat="1" ht="47.25" spans="1:20">
      <c r="A270" s="69" t="s">
        <v>258</v>
      </c>
      <c r="B270" s="70" t="s">
        <v>259</v>
      </c>
      <c r="C270" s="71" t="s">
        <v>27</v>
      </c>
      <c r="D270" s="85">
        <v>7</v>
      </c>
      <c r="E270" s="72">
        <v>22.21</v>
      </c>
      <c r="F270" s="72">
        <f>IF(E270="","",ROUND(E270+(E270*$D$4),2))</f>
        <v>27.29</v>
      </c>
      <c r="G270" s="73">
        <f>D270*F270</f>
        <v>191.03</v>
      </c>
      <c r="H270" s="85">
        <v>7</v>
      </c>
      <c r="I270" s="94" t="s">
        <v>260</v>
      </c>
      <c r="J270" s="28"/>
      <c r="K270" s="29"/>
      <c r="L270" s="28"/>
      <c r="M270" s="28"/>
      <c r="N270" s="28"/>
      <c r="O270" s="28"/>
      <c r="P270" s="28"/>
      <c r="Q270" s="28"/>
      <c r="R270" s="28"/>
      <c r="S270" s="28"/>
      <c r="T270" s="28"/>
    </row>
    <row r="271" s="31" customFormat="1" ht="63" spans="1:20">
      <c r="A271" s="69"/>
      <c r="B271" s="75" t="s">
        <v>261</v>
      </c>
      <c r="C271" s="71"/>
      <c r="D271" s="85"/>
      <c r="E271" s="72"/>
      <c r="F271" s="72"/>
      <c r="G271" s="73"/>
      <c r="H271" s="77"/>
      <c r="I271" s="94"/>
      <c r="J271" s="28"/>
      <c r="K271" s="29"/>
      <c r="L271" s="28"/>
      <c r="M271" s="28"/>
      <c r="N271" s="28"/>
      <c r="O271" s="28"/>
      <c r="P271" s="28"/>
      <c r="Q271" s="28"/>
      <c r="R271" s="28"/>
      <c r="S271" s="28"/>
      <c r="T271" s="28"/>
    </row>
    <row r="272" s="31" customFormat="1" spans="1:20">
      <c r="A272" s="69"/>
      <c r="B272" s="75"/>
      <c r="C272" s="71"/>
      <c r="D272" s="85"/>
      <c r="E272" s="72"/>
      <c r="F272" s="72"/>
      <c r="G272" s="73"/>
      <c r="H272" s="77"/>
      <c r="I272" s="94"/>
      <c r="J272" s="28"/>
      <c r="K272" s="29"/>
      <c r="L272" s="28"/>
      <c r="M272" s="28"/>
      <c r="N272" s="28"/>
      <c r="O272" s="28"/>
      <c r="P272" s="28"/>
      <c r="Q272" s="28"/>
      <c r="R272" s="28"/>
      <c r="S272" s="28"/>
      <c r="T272" s="28"/>
    </row>
    <row r="273" s="31" customFormat="1" spans="1:20">
      <c r="A273" s="69"/>
      <c r="B273" s="75"/>
      <c r="C273" s="71"/>
      <c r="D273" s="85"/>
      <c r="E273" s="72"/>
      <c r="F273" s="72"/>
      <c r="G273" s="73"/>
      <c r="H273" s="77"/>
      <c r="I273" s="94"/>
      <c r="J273" s="28"/>
      <c r="K273" s="29"/>
      <c r="L273" s="28"/>
      <c r="M273" s="28"/>
      <c r="N273" s="28"/>
      <c r="O273" s="28"/>
      <c r="P273" s="28"/>
      <c r="Q273" s="28"/>
      <c r="R273" s="28"/>
      <c r="S273" s="28"/>
      <c r="T273" s="28"/>
    </row>
    <row r="274" s="31" customFormat="1" spans="1:20">
      <c r="A274" s="69"/>
      <c r="B274" s="75"/>
      <c r="C274" s="71"/>
      <c r="D274" s="85"/>
      <c r="E274" s="72"/>
      <c r="F274" s="72"/>
      <c r="G274" s="73"/>
      <c r="H274" s="77"/>
      <c r="I274" s="94"/>
      <c r="J274" s="28"/>
      <c r="K274" s="29"/>
      <c r="L274" s="28"/>
      <c r="M274" s="28"/>
      <c r="N274" s="28"/>
      <c r="O274" s="28"/>
      <c r="P274" s="28"/>
      <c r="Q274" s="28"/>
      <c r="R274" s="28"/>
      <c r="S274" s="28"/>
      <c r="T274" s="28"/>
    </row>
    <row r="275" s="31" customFormat="1" spans="1:20">
      <c r="A275" s="69"/>
      <c r="B275" s="75"/>
      <c r="C275" s="71"/>
      <c r="D275" s="85"/>
      <c r="E275" s="72"/>
      <c r="F275" s="72"/>
      <c r="G275" s="73"/>
      <c r="H275" s="77"/>
      <c r="I275" s="94"/>
      <c r="J275" s="28"/>
      <c r="K275" s="29"/>
      <c r="L275" s="28"/>
      <c r="M275" s="28"/>
      <c r="N275" s="28"/>
      <c r="O275" s="28"/>
      <c r="P275" s="28"/>
      <c r="Q275" s="28"/>
      <c r="R275" s="28"/>
      <c r="S275" s="28"/>
      <c r="T275" s="28"/>
    </row>
    <row r="276" s="31" customFormat="1" ht="31.5" spans="1:20">
      <c r="A276" s="69" t="s">
        <v>262</v>
      </c>
      <c r="B276" s="70" t="s">
        <v>263</v>
      </c>
      <c r="C276" s="71" t="s">
        <v>27</v>
      </c>
      <c r="D276" s="85">
        <v>4</v>
      </c>
      <c r="E276" s="72">
        <v>20.95</v>
      </c>
      <c r="F276" s="72">
        <f>IF(E276="","",ROUND(E276+(E276*$D$4),2))</f>
        <v>25.74</v>
      </c>
      <c r="G276" s="73">
        <f>D276*F276</f>
        <v>102.96</v>
      </c>
      <c r="H276" s="85">
        <v>4</v>
      </c>
      <c r="I276" s="94" t="s">
        <v>264</v>
      </c>
      <c r="J276" s="28"/>
      <c r="K276" s="29"/>
      <c r="L276" s="28"/>
      <c r="M276" s="28"/>
      <c r="N276" s="28"/>
      <c r="O276" s="28"/>
      <c r="P276" s="28"/>
      <c r="Q276" s="28"/>
      <c r="R276" s="28"/>
      <c r="S276" s="28"/>
      <c r="T276" s="28"/>
    </row>
    <row r="277" s="31" customFormat="1" ht="63" spans="1:20">
      <c r="A277" s="69"/>
      <c r="B277" s="75" t="s">
        <v>265</v>
      </c>
      <c r="C277" s="71"/>
      <c r="D277" s="85"/>
      <c r="E277" s="72"/>
      <c r="F277" s="72"/>
      <c r="G277" s="73"/>
      <c r="H277" s="77"/>
      <c r="I277" s="94"/>
      <c r="J277" s="28"/>
      <c r="K277" s="29"/>
      <c r="L277" s="28"/>
      <c r="M277" s="28"/>
      <c r="N277" s="28"/>
      <c r="O277" s="28"/>
      <c r="P277" s="28"/>
      <c r="Q277" s="28"/>
      <c r="R277" s="28"/>
      <c r="S277" s="28"/>
      <c r="T277" s="28"/>
    </row>
    <row r="278" s="31" customFormat="1" spans="1:20">
      <c r="A278" s="69"/>
      <c r="B278" s="75"/>
      <c r="C278" s="71"/>
      <c r="D278" s="85"/>
      <c r="E278" s="72"/>
      <c r="F278" s="72"/>
      <c r="G278" s="73"/>
      <c r="H278" s="77"/>
      <c r="I278" s="94"/>
      <c r="J278" s="28"/>
      <c r="K278" s="29"/>
      <c r="L278" s="28"/>
      <c r="M278" s="28"/>
      <c r="N278" s="28"/>
      <c r="O278" s="28"/>
      <c r="P278" s="28"/>
      <c r="Q278" s="28"/>
      <c r="R278" s="28"/>
      <c r="S278" s="28"/>
      <c r="T278" s="28"/>
    </row>
    <row r="279" s="31" customFormat="1" spans="1:20">
      <c r="A279" s="69" t="s">
        <v>266</v>
      </c>
      <c r="B279" s="99" t="s">
        <v>267</v>
      </c>
      <c r="C279" s="71"/>
      <c r="D279" s="85"/>
      <c r="E279" s="72"/>
      <c r="F279" s="72"/>
      <c r="G279" s="73"/>
      <c r="H279" s="77"/>
      <c r="I279" s="94"/>
      <c r="J279" s="28"/>
      <c r="K279" s="29"/>
      <c r="L279" s="28"/>
      <c r="M279" s="28"/>
      <c r="N279" s="28"/>
      <c r="O279" s="28"/>
      <c r="P279" s="28"/>
      <c r="Q279" s="28"/>
      <c r="R279" s="28"/>
      <c r="S279" s="28"/>
      <c r="T279" s="28"/>
    </row>
    <row r="280" s="31" customFormat="1" ht="94.5" spans="1:20">
      <c r="A280" s="69"/>
      <c r="B280" s="75" t="s">
        <v>268</v>
      </c>
      <c r="C280" s="71"/>
      <c r="D280" s="85"/>
      <c r="E280" s="72"/>
      <c r="F280" s="72"/>
      <c r="G280" s="73"/>
      <c r="H280" s="77"/>
      <c r="I280" s="94"/>
      <c r="J280" s="28"/>
      <c r="K280" s="29"/>
      <c r="L280" s="28"/>
      <c r="M280" s="28"/>
      <c r="N280" s="28"/>
      <c r="O280" s="28"/>
      <c r="P280" s="28"/>
      <c r="Q280" s="28"/>
      <c r="R280" s="28"/>
      <c r="S280" s="28"/>
      <c r="T280" s="28"/>
    </row>
    <row r="281" s="31" customFormat="1" spans="1:20">
      <c r="A281" s="69"/>
      <c r="B281" s="99"/>
      <c r="C281" s="71"/>
      <c r="D281" s="85"/>
      <c r="E281" s="72"/>
      <c r="F281" s="72"/>
      <c r="G281" s="73"/>
      <c r="H281" s="77"/>
      <c r="I281" s="94"/>
      <c r="J281" s="28"/>
      <c r="K281" s="29"/>
      <c r="L281" s="28"/>
      <c r="M281" s="28"/>
      <c r="N281" s="28"/>
      <c r="O281" s="28"/>
      <c r="P281" s="28"/>
      <c r="Q281" s="28"/>
      <c r="R281" s="28"/>
      <c r="S281" s="28"/>
      <c r="T281" s="28"/>
    </row>
    <row r="282" s="31" customFormat="1" spans="1:20">
      <c r="A282" s="69" t="s">
        <v>269</v>
      </c>
      <c r="B282" s="70" t="s">
        <v>270</v>
      </c>
      <c r="C282" s="71" t="s">
        <v>27</v>
      </c>
      <c r="D282" s="85">
        <v>4</v>
      </c>
      <c r="E282" s="72">
        <v>21.69</v>
      </c>
      <c r="F282" s="72">
        <f>IF(E282="","",ROUND(E282+(E282*$D$4),2))</f>
        <v>26.65</v>
      </c>
      <c r="G282" s="73">
        <f>D282*F282</f>
        <v>106.6</v>
      </c>
      <c r="H282" s="85">
        <v>4</v>
      </c>
      <c r="I282" s="94" t="s">
        <v>271</v>
      </c>
      <c r="J282" s="28"/>
      <c r="K282" s="29"/>
      <c r="L282" s="28"/>
      <c r="M282" s="28"/>
      <c r="N282" s="28"/>
      <c r="O282" s="28"/>
      <c r="P282" s="28"/>
      <c r="Q282" s="28"/>
      <c r="R282" s="28"/>
      <c r="S282" s="28"/>
      <c r="T282" s="28"/>
    </row>
    <row r="283" s="31" customFormat="1" spans="1:20">
      <c r="A283" s="69"/>
      <c r="B283" s="75"/>
      <c r="C283" s="71"/>
      <c r="D283" s="85"/>
      <c r="E283" s="72"/>
      <c r="F283" s="72" t="str">
        <f>IF(E283="","",TRUNC(E283+(E283*$D$4),2))</f>
        <v/>
      </c>
      <c r="G283" s="73"/>
      <c r="H283" s="77"/>
      <c r="I283" s="94"/>
      <c r="J283" s="28"/>
      <c r="K283" s="29"/>
      <c r="L283" s="28"/>
      <c r="M283" s="28"/>
      <c r="N283" s="28"/>
      <c r="O283" s="28"/>
      <c r="P283" s="28"/>
      <c r="Q283" s="28"/>
      <c r="R283" s="28"/>
      <c r="S283" s="28"/>
      <c r="T283" s="28"/>
    </row>
    <row r="284" s="31" customFormat="1" spans="1:20">
      <c r="A284" s="69"/>
      <c r="B284" s="75"/>
      <c r="C284" s="71"/>
      <c r="D284" s="85"/>
      <c r="E284" s="72"/>
      <c r="F284" s="72"/>
      <c r="G284" s="73"/>
      <c r="H284" s="77"/>
      <c r="I284" s="94"/>
      <c r="J284" s="28"/>
      <c r="K284" s="29"/>
      <c r="L284" s="28"/>
      <c r="M284" s="28"/>
      <c r="N284" s="28"/>
      <c r="O284" s="28"/>
      <c r="P284" s="28"/>
      <c r="Q284" s="28"/>
      <c r="R284" s="28"/>
      <c r="S284" s="28"/>
      <c r="T284" s="28"/>
    </row>
    <row r="285" s="31" customFormat="1" spans="1:20">
      <c r="A285" s="69" t="s">
        <v>272</v>
      </c>
      <c r="B285" s="70" t="s">
        <v>273</v>
      </c>
      <c r="C285" s="71" t="s">
        <v>27</v>
      </c>
      <c r="D285" s="85">
        <v>4</v>
      </c>
      <c r="E285" s="72">
        <v>50.1</v>
      </c>
      <c r="F285" s="72">
        <f>IF(E285="","",ROUND(E285+(E285*$D$4),2))</f>
        <v>61.56</v>
      </c>
      <c r="G285" s="73">
        <f>D285*F285</f>
        <v>246.24</v>
      </c>
      <c r="H285" s="85">
        <v>4</v>
      </c>
      <c r="I285" s="94" t="s">
        <v>271</v>
      </c>
      <c r="J285" s="28"/>
      <c r="K285" s="29"/>
      <c r="L285" s="28"/>
      <c r="M285" s="28"/>
      <c r="N285" s="28"/>
      <c r="O285" s="28"/>
      <c r="P285" s="28"/>
      <c r="Q285" s="28"/>
      <c r="R285" s="28"/>
      <c r="S285" s="28"/>
      <c r="T285" s="28"/>
    </row>
    <row r="286" s="31" customFormat="1" spans="1:20">
      <c r="A286" s="69"/>
      <c r="B286" s="75"/>
      <c r="C286" s="71"/>
      <c r="D286" s="85"/>
      <c r="E286" s="72"/>
      <c r="F286" s="72"/>
      <c r="G286" s="73"/>
      <c r="H286" s="77"/>
      <c r="I286" s="94"/>
      <c r="J286" s="28"/>
      <c r="K286" s="29"/>
      <c r="L286" s="28"/>
      <c r="M286" s="28"/>
      <c r="N286" s="28"/>
      <c r="O286" s="28"/>
      <c r="P286" s="28"/>
      <c r="Q286" s="28"/>
      <c r="R286" s="28"/>
      <c r="S286" s="28"/>
      <c r="T286" s="28"/>
    </row>
    <row r="287" s="31" customFormat="1" ht="31.5" spans="1:20">
      <c r="A287" s="116" t="s">
        <v>274</v>
      </c>
      <c r="B287" s="78" t="s">
        <v>275</v>
      </c>
      <c r="C287" s="117" t="s">
        <v>27</v>
      </c>
      <c r="D287" s="85">
        <v>1</v>
      </c>
      <c r="E287" s="72">
        <v>118.07</v>
      </c>
      <c r="F287" s="72">
        <f>IF(E287="","",ROUND(E287+(E287*$D$4),2))</f>
        <v>145.08</v>
      </c>
      <c r="G287" s="73">
        <f>D287*F287</f>
        <v>145.08</v>
      </c>
      <c r="H287" s="85">
        <v>1</v>
      </c>
      <c r="I287" s="94" t="s">
        <v>271</v>
      </c>
      <c r="J287" s="28"/>
      <c r="K287" s="29"/>
      <c r="L287" s="28"/>
      <c r="M287" s="28"/>
      <c r="N287" s="28"/>
      <c r="O287" s="28"/>
      <c r="P287" s="28"/>
      <c r="Q287" s="28"/>
      <c r="R287" s="28"/>
      <c r="S287" s="28"/>
      <c r="T287" s="28"/>
    </row>
    <row r="288" s="31" customFormat="1" spans="1:20">
      <c r="A288" s="116"/>
      <c r="B288" s="118"/>
      <c r="C288" s="117"/>
      <c r="D288" s="85"/>
      <c r="E288" s="72"/>
      <c r="F288" s="72"/>
      <c r="G288" s="73"/>
      <c r="H288" s="77"/>
      <c r="I288" s="94"/>
      <c r="J288" s="28"/>
      <c r="K288" s="29"/>
      <c r="L288" s="28"/>
      <c r="M288" s="28"/>
      <c r="N288" s="28"/>
      <c r="O288" s="28"/>
      <c r="P288" s="28"/>
      <c r="Q288" s="28"/>
      <c r="R288" s="28"/>
      <c r="S288" s="28"/>
      <c r="T288" s="28"/>
    </row>
    <row r="289" s="31" customFormat="1" spans="1:20">
      <c r="A289" s="69" t="s">
        <v>276</v>
      </c>
      <c r="B289" s="99" t="s">
        <v>277</v>
      </c>
      <c r="C289" s="71"/>
      <c r="D289" s="85"/>
      <c r="E289" s="72"/>
      <c r="F289" s="72"/>
      <c r="G289" s="73"/>
      <c r="H289" s="77"/>
      <c r="I289" s="94"/>
      <c r="J289" s="28"/>
      <c r="K289" s="29"/>
      <c r="L289" s="28"/>
      <c r="M289" s="28"/>
      <c r="N289" s="28"/>
      <c r="O289" s="28"/>
      <c r="P289" s="28"/>
      <c r="Q289" s="28"/>
      <c r="R289" s="28"/>
      <c r="S289" s="28"/>
      <c r="T289" s="28"/>
    </row>
    <row r="290" s="31" customFormat="1" ht="78.75" spans="1:20">
      <c r="A290" s="69"/>
      <c r="B290" s="75" t="s">
        <v>278</v>
      </c>
      <c r="C290" s="71"/>
      <c r="D290" s="85"/>
      <c r="E290" s="72"/>
      <c r="F290" s="72"/>
      <c r="G290" s="73"/>
      <c r="H290" s="77"/>
      <c r="I290" s="94"/>
      <c r="J290" s="28"/>
      <c r="K290" s="29"/>
      <c r="L290" s="28"/>
      <c r="M290" s="28"/>
      <c r="N290" s="28"/>
      <c r="O290" s="28"/>
      <c r="P290" s="28"/>
      <c r="Q290" s="28"/>
      <c r="R290" s="28"/>
      <c r="S290" s="28"/>
      <c r="T290" s="28"/>
    </row>
    <row r="291" s="31" customFormat="1" spans="1:20">
      <c r="A291" s="69"/>
      <c r="B291" s="99"/>
      <c r="C291" s="71"/>
      <c r="D291" s="85"/>
      <c r="E291" s="72"/>
      <c r="F291" s="72"/>
      <c r="G291" s="73"/>
      <c r="H291" s="77"/>
      <c r="I291" s="94"/>
      <c r="J291" s="28"/>
      <c r="K291" s="29"/>
      <c r="L291" s="28"/>
      <c r="M291" s="28"/>
      <c r="N291" s="28"/>
      <c r="O291" s="28"/>
      <c r="P291" s="28"/>
      <c r="Q291" s="28"/>
      <c r="R291" s="28"/>
      <c r="S291" s="28"/>
      <c r="T291" s="28"/>
    </row>
    <row r="292" s="31" customFormat="1" spans="1:20">
      <c r="A292" s="69"/>
      <c r="B292" s="75"/>
      <c r="C292" s="71"/>
      <c r="D292" s="85"/>
      <c r="E292" s="72"/>
      <c r="F292" s="72"/>
      <c r="G292" s="73"/>
      <c r="H292" s="77"/>
      <c r="I292" s="94"/>
      <c r="J292" s="28"/>
      <c r="K292" s="29"/>
      <c r="L292" s="28"/>
      <c r="M292" s="28"/>
      <c r="N292" s="28"/>
      <c r="O292" s="28"/>
      <c r="P292" s="28"/>
      <c r="Q292" s="28"/>
      <c r="R292" s="28"/>
      <c r="S292" s="28"/>
      <c r="T292" s="28"/>
    </row>
    <row r="293" s="31" customFormat="1" ht="37.5" spans="1:20">
      <c r="A293" s="69" t="s">
        <v>279</v>
      </c>
      <c r="B293" s="70" t="s">
        <v>280</v>
      </c>
      <c r="C293" s="71" t="s">
        <v>104</v>
      </c>
      <c r="D293" s="85">
        <f>(5*2*2+22*2+5*3*2+10*3+25*3)</f>
        <v>199</v>
      </c>
      <c r="E293" s="72">
        <v>6.05</v>
      </c>
      <c r="F293" s="72">
        <f>IF(E293="","",ROUND(E293+(E293*$D$4),2))</f>
        <v>7.43</v>
      </c>
      <c r="G293" s="73">
        <f>D293*F293</f>
        <v>1478.57</v>
      </c>
      <c r="H293" s="85" t="s">
        <v>281</v>
      </c>
      <c r="I293" s="94" t="s">
        <v>282</v>
      </c>
      <c r="J293" s="28"/>
      <c r="K293" s="29"/>
      <c r="L293" s="28"/>
      <c r="M293" s="28"/>
      <c r="N293" s="28"/>
      <c r="O293" s="28"/>
      <c r="P293" s="28"/>
      <c r="Q293" s="28"/>
      <c r="R293" s="28"/>
      <c r="S293" s="28"/>
      <c r="T293" s="28"/>
    </row>
    <row r="294" s="31" customFormat="1" spans="1:20">
      <c r="A294" s="69"/>
      <c r="B294" s="75"/>
      <c r="C294" s="71"/>
      <c r="D294" s="85"/>
      <c r="E294" s="72"/>
      <c r="F294" s="72"/>
      <c r="G294" s="73"/>
      <c r="H294" s="77"/>
      <c r="I294" s="94"/>
      <c r="J294" s="28"/>
      <c r="K294" s="29"/>
      <c r="L294" s="28"/>
      <c r="M294" s="28"/>
      <c r="N294" s="28"/>
      <c r="O294" s="28"/>
      <c r="P294" s="28"/>
      <c r="Q294" s="28"/>
      <c r="R294" s="28"/>
      <c r="S294" s="28"/>
      <c r="T294" s="28"/>
    </row>
    <row r="295" s="31" customFormat="1" ht="47.25" spans="1:20">
      <c r="A295" s="69" t="s">
        <v>283</v>
      </c>
      <c r="B295" s="70" t="s">
        <v>284</v>
      </c>
      <c r="C295" s="71" t="s">
        <v>104</v>
      </c>
      <c r="D295" s="85">
        <f>(28*2*2+7*2+25*2+56*2)</f>
        <v>288</v>
      </c>
      <c r="E295" s="72">
        <v>7.15</v>
      </c>
      <c r="F295" s="72">
        <f>IF(E295="","",ROUND(E295+(E295*$D$4),2))</f>
        <v>8.79</v>
      </c>
      <c r="G295" s="73">
        <f>D295*F295</f>
        <v>2531.52</v>
      </c>
      <c r="H295" s="85" t="s">
        <v>285</v>
      </c>
      <c r="I295" s="94" t="s">
        <v>286</v>
      </c>
      <c r="J295" s="28"/>
      <c r="K295" s="29"/>
      <c r="L295" s="28"/>
      <c r="M295" s="28"/>
      <c r="N295" s="28"/>
      <c r="O295" s="28"/>
      <c r="P295" s="28"/>
      <c r="Q295" s="28"/>
      <c r="R295" s="28"/>
      <c r="S295" s="28"/>
      <c r="T295" s="28"/>
    </row>
    <row r="296" s="31" customFormat="1" spans="1:20">
      <c r="A296" s="69"/>
      <c r="B296" s="75"/>
      <c r="C296" s="71"/>
      <c r="D296" s="85"/>
      <c r="E296" s="72"/>
      <c r="F296" s="72"/>
      <c r="G296" s="73"/>
      <c r="H296" s="77"/>
      <c r="I296" s="94"/>
      <c r="J296" s="28"/>
      <c r="K296" s="29"/>
      <c r="L296" s="28"/>
      <c r="M296" s="28"/>
      <c r="N296" s="28"/>
      <c r="O296" s="28"/>
      <c r="P296" s="28"/>
      <c r="Q296" s="28"/>
      <c r="R296" s="28"/>
      <c r="S296" s="28"/>
      <c r="T296" s="28"/>
    </row>
    <row r="297" s="31" customFormat="1" spans="1:20">
      <c r="A297" s="69"/>
      <c r="B297" s="75"/>
      <c r="C297" s="71"/>
      <c r="D297" s="119"/>
      <c r="E297" s="72"/>
      <c r="F297" s="72"/>
      <c r="G297" s="73"/>
      <c r="H297" s="77"/>
      <c r="I297" s="94"/>
      <c r="J297" s="28"/>
      <c r="K297" s="29"/>
      <c r="L297" s="28"/>
      <c r="M297" s="28"/>
      <c r="N297" s="28"/>
      <c r="O297" s="28"/>
      <c r="P297" s="28"/>
      <c r="Q297" s="28"/>
      <c r="R297" s="28"/>
      <c r="S297" s="28"/>
      <c r="T297" s="28"/>
    </row>
    <row r="298" s="31" customFormat="1" spans="1:20">
      <c r="A298" s="69" t="s">
        <v>287</v>
      </c>
      <c r="B298" s="99" t="s">
        <v>288</v>
      </c>
      <c r="C298" s="71"/>
      <c r="D298" s="85"/>
      <c r="E298" s="72"/>
      <c r="F298" s="72"/>
      <c r="G298" s="73"/>
      <c r="H298" s="77"/>
      <c r="I298" s="94"/>
      <c r="J298" s="28"/>
      <c r="K298" s="29"/>
      <c r="L298" s="28"/>
      <c r="M298" s="28"/>
      <c r="N298" s="28"/>
      <c r="O298" s="28"/>
      <c r="P298" s="28"/>
      <c r="Q298" s="28"/>
      <c r="R298" s="28"/>
      <c r="S298" s="28"/>
      <c r="T298" s="28"/>
    </row>
    <row r="299" s="31" customFormat="1" ht="78.75" spans="1:20">
      <c r="A299" s="69"/>
      <c r="B299" s="75" t="s">
        <v>289</v>
      </c>
      <c r="C299" s="71"/>
      <c r="D299" s="85"/>
      <c r="E299" s="72"/>
      <c r="F299" s="72"/>
      <c r="G299" s="73"/>
      <c r="H299" s="77"/>
      <c r="I299" s="94"/>
      <c r="J299" s="28"/>
      <c r="K299" s="29"/>
      <c r="L299" s="28"/>
      <c r="M299" s="28"/>
      <c r="N299" s="28"/>
      <c r="O299" s="28"/>
      <c r="P299" s="28"/>
      <c r="Q299" s="28"/>
      <c r="R299" s="28"/>
      <c r="S299" s="28"/>
      <c r="T299" s="28"/>
    </row>
    <row r="300" s="31" customFormat="1" spans="1:20">
      <c r="A300" s="69"/>
      <c r="B300" s="75"/>
      <c r="C300" s="71"/>
      <c r="D300" s="85"/>
      <c r="E300" s="72"/>
      <c r="F300" s="72"/>
      <c r="G300" s="73"/>
      <c r="H300" s="77"/>
      <c r="I300" s="94"/>
      <c r="J300" s="28"/>
      <c r="K300" s="29"/>
      <c r="L300" s="28"/>
      <c r="M300" s="28"/>
      <c r="N300" s="28"/>
      <c r="O300" s="28"/>
      <c r="P300" s="28"/>
      <c r="Q300" s="28"/>
      <c r="R300" s="28"/>
      <c r="S300" s="28"/>
      <c r="T300" s="28"/>
    </row>
    <row r="301" s="31" customFormat="1" spans="1:20">
      <c r="A301" s="69"/>
      <c r="B301" s="75"/>
      <c r="C301" s="71"/>
      <c r="D301" s="85"/>
      <c r="E301" s="72"/>
      <c r="F301" s="72"/>
      <c r="G301" s="73"/>
      <c r="H301" s="77"/>
      <c r="I301" s="94"/>
      <c r="J301" s="28"/>
      <c r="K301" s="29"/>
      <c r="L301" s="28"/>
      <c r="M301" s="28"/>
      <c r="N301" s="28"/>
      <c r="O301" s="28"/>
      <c r="P301" s="28"/>
      <c r="Q301" s="28"/>
      <c r="R301" s="28"/>
      <c r="S301" s="28"/>
      <c r="T301" s="28"/>
    </row>
    <row r="302" s="31" customFormat="1" ht="31.5" spans="1:20">
      <c r="A302" s="69" t="s">
        <v>290</v>
      </c>
      <c r="B302" s="70" t="s">
        <v>291</v>
      </c>
      <c r="C302" s="71" t="s">
        <v>104</v>
      </c>
      <c r="D302" s="85">
        <f>45*3</f>
        <v>135</v>
      </c>
      <c r="E302" s="72">
        <v>10.56</v>
      </c>
      <c r="F302" s="72">
        <f>IF(E302="","",ROUND(E302+(E302*$D$4),2))</f>
        <v>12.98</v>
      </c>
      <c r="G302" s="73">
        <f>D302*F302</f>
        <v>1752.3</v>
      </c>
      <c r="H302" s="77" t="s">
        <v>292</v>
      </c>
      <c r="I302" s="94" t="s">
        <v>293</v>
      </c>
      <c r="J302" s="28"/>
      <c r="K302" s="29"/>
      <c r="L302" s="28"/>
      <c r="M302" s="28"/>
      <c r="N302" s="28"/>
      <c r="O302" s="28"/>
      <c r="P302" s="28"/>
      <c r="Q302" s="28"/>
      <c r="R302" s="28"/>
      <c r="S302" s="28"/>
      <c r="T302" s="28"/>
    </row>
    <row r="303" s="31" customFormat="1" spans="1:20">
      <c r="A303" s="69"/>
      <c r="B303" s="75"/>
      <c r="C303" s="71"/>
      <c r="D303" s="85"/>
      <c r="E303" s="72"/>
      <c r="F303" s="72"/>
      <c r="G303" s="73"/>
      <c r="H303" s="77"/>
      <c r="I303" s="94"/>
      <c r="J303" s="28"/>
      <c r="K303" s="29"/>
      <c r="L303" s="28"/>
      <c r="M303" s="28"/>
      <c r="N303" s="28"/>
      <c r="O303" s="28"/>
      <c r="P303" s="28"/>
      <c r="Q303" s="28"/>
      <c r="R303" s="28"/>
      <c r="S303" s="28"/>
      <c r="T303" s="28"/>
    </row>
    <row r="304" s="31" customFormat="1" spans="1:20">
      <c r="A304" s="69"/>
      <c r="B304" s="75"/>
      <c r="C304" s="71"/>
      <c r="D304" s="85"/>
      <c r="E304" s="72"/>
      <c r="F304" s="72"/>
      <c r="G304" s="73"/>
      <c r="H304" s="77"/>
      <c r="I304" s="94"/>
      <c r="J304" s="28"/>
      <c r="K304" s="29"/>
      <c r="L304" s="28"/>
      <c r="M304" s="28"/>
      <c r="N304" s="28"/>
      <c r="O304" s="28"/>
      <c r="P304" s="28"/>
      <c r="Q304" s="28"/>
      <c r="R304" s="28"/>
      <c r="S304" s="28"/>
      <c r="T304" s="28"/>
    </row>
    <row r="305" s="31" customFormat="1" spans="1:20">
      <c r="A305" s="69" t="s">
        <v>294</v>
      </c>
      <c r="B305" s="70" t="s">
        <v>295</v>
      </c>
      <c r="C305" s="71" t="s">
        <v>104</v>
      </c>
      <c r="D305" s="85">
        <v>10</v>
      </c>
      <c r="E305" s="72">
        <v>11.91</v>
      </c>
      <c r="F305" s="72">
        <f>IF(E305="","",ROUND(E305+(E305*$D$4),2))</f>
        <v>14.64</v>
      </c>
      <c r="G305" s="73">
        <f>D305*F305</f>
        <v>146.4</v>
      </c>
      <c r="H305" s="77">
        <v>10</v>
      </c>
      <c r="I305" s="94" t="s">
        <v>296</v>
      </c>
      <c r="J305" s="28"/>
      <c r="K305" s="29"/>
      <c r="L305" s="28"/>
      <c r="M305" s="28"/>
      <c r="N305" s="28"/>
      <c r="O305" s="28"/>
      <c r="P305" s="28"/>
      <c r="Q305" s="28"/>
      <c r="R305" s="28"/>
      <c r="S305" s="28"/>
      <c r="T305" s="28"/>
    </row>
    <row r="306" s="31" customFormat="1" ht="78.75" spans="1:20">
      <c r="A306" s="69"/>
      <c r="B306" s="75" t="s">
        <v>297</v>
      </c>
      <c r="C306" s="71"/>
      <c r="D306" s="85"/>
      <c r="E306" s="72"/>
      <c r="F306" s="72" t="str">
        <f>IF(E306="","",TRUNC(E306+(E306*$D$4),2))</f>
        <v/>
      </c>
      <c r="G306" s="73"/>
      <c r="H306" s="77"/>
      <c r="I306" s="94"/>
      <c r="J306" s="28"/>
      <c r="K306" s="29"/>
      <c r="L306" s="28"/>
      <c r="M306" s="28"/>
      <c r="N306" s="28"/>
      <c r="O306" s="28"/>
      <c r="P306" s="28"/>
      <c r="Q306" s="28"/>
      <c r="R306" s="28"/>
      <c r="S306" s="28"/>
      <c r="T306" s="28"/>
    </row>
    <row r="307" s="31" customFormat="1" spans="1:20">
      <c r="A307" s="69"/>
      <c r="B307" s="75"/>
      <c r="C307" s="71"/>
      <c r="D307" s="85"/>
      <c r="E307" s="72"/>
      <c r="F307" s="72"/>
      <c r="G307" s="73"/>
      <c r="H307" s="77"/>
      <c r="I307" s="94"/>
      <c r="J307" s="28"/>
      <c r="K307" s="29"/>
      <c r="L307" s="28"/>
      <c r="M307" s="28"/>
      <c r="N307" s="28"/>
      <c r="O307" s="28"/>
      <c r="P307" s="28"/>
      <c r="Q307" s="28"/>
      <c r="R307" s="28"/>
      <c r="S307" s="28"/>
      <c r="T307" s="28"/>
    </row>
    <row r="308" s="31" customFormat="1" spans="1:20">
      <c r="A308" s="69"/>
      <c r="B308" s="75"/>
      <c r="C308" s="71"/>
      <c r="D308" s="85"/>
      <c r="E308" s="72"/>
      <c r="F308" s="72"/>
      <c r="G308" s="73"/>
      <c r="H308" s="77"/>
      <c r="I308" s="94"/>
      <c r="J308" s="28"/>
      <c r="K308" s="29"/>
      <c r="L308" s="28"/>
      <c r="M308" s="28"/>
      <c r="N308" s="28"/>
      <c r="O308" s="28"/>
      <c r="P308" s="28"/>
      <c r="Q308" s="28"/>
      <c r="R308" s="28"/>
      <c r="S308" s="28"/>
      <c r="T308" s="28"/>
    </row>
    <row r="309" s="31" customFormat="1" spans="1:20">
      <c r="A309" s="69" t="s">
        <v>298</v>
      </c>
      <c r="B309" s="99" t="s">
        <v>299</v>
      </c>
      <c r="C309" s="71"/>
      <c r="D309" s="85"/>
      <c r="E309" s="72"/>
      <c r="F309" s="72"/>
      <c r="G309" s="73"/>
      <c r="H309" s="77"/>
      <c r="I309" s="94"/>
      <c r="J309" s="28"/>
      <c r="K309" s="29"/>
      <c r="L309" s="28"/>
      <c r="M309" s="28"/>
      <c r="N309" s="28"/>
      <c r="O309" s="28"/>
      <c r="P309" s="28"/>
      <c r="Q309" s="28"/>
      <c r="R309" s="28"/>
      <c r="S309" s="28"/>
      <c r="T309" s="28"/>
    </row>
    <row r="310" s="31" customFormat="1" ht="141.75" spans="1:20">
      <c r="A310" s="69"/>
      <c r="B310" s="75" t="s">
        <v>300</v>
      </c>
      <c r="C310" s="71"/>
      <c r="D310" s="85"/>
      <c r="E310" s="72"/>
      <c r="F310" s="72"/>
      <c r="G310" s="73"/>
      <c r="H310" s="77"/>
      <c r="I310" s="94"/>
      <c r="J310" s="28"/>
      <c r="K310" s="29"/>
      <c r="L310" s="28"/>
      <c r="M310" s="28"/>
      <c r="N310" s="28"/>
      <c r="O310" s="28"/>
      <c r="P310" s="28"/>
      <c r="Q310" s="28"/>
      <c r="R310" s="28"/>
      <c r="S310" s="28"/>
      <c r="T310" s="28"/>
    </row>
    <row r="311" s="31" customFormat="1" spans="1:20">
      <c r="A311" s="69"/>
      <c r="B311" s="99"/>
      <c r="C311" s="71"/>
      <c r="D311" s="85"/>
      <c r="E311" s="72"/>
      <c r="F311" s="72"/>
      <c r="G311" s="73"/>
      <c r="H311" s="77"/>
      <c r="I311" s="94"/>
      <c r="J311" s="28"/>
      <c r="K311" s="29"/>
      <c r="L311" s="28"/>
      <c r="M311" s="28"/>
      <c r="N311" s="28"/>
      <c r="O311" s="28"/>
      <c r="P311" s="28"/>
      <c r="Q311" s="28"/>
      <c r="R311" s="28"/>
      <c r="S311" s="28"/>
      <c r="T311" s="28"/>
    </row>
    <row r="312" s="31" customFormat="1" ht="25.5" customHeight="1" spans="1:20">
      <c r="A312" s="69" t="s">
        <v>301</v>
      </c>
      <c r="B312" s="70" t="s">
        <v>302</v>
      </c>
      <c r="C312" s="71" t="s">
        <v>104</v>
      </c>
      <c r="D312" s="85">
        <f>28*2+7+25+56</f>
        <v>144</v>
      </c>
      <c r="E312" s="72">
        <v>25.46</v>
      </c>
      <c r="F312" s="72">
        <f>IF(E312="","",ROUND(E312+(E312*$D$4),2))</f>
        <v>31.29</v>
      </c>
      <c r="G312" s="73">
        <f>D312*F312</f>
        <v>4505.76</v>
      </c>
      <c r="H312" s="85" t="s">
        <v>303</v>
      </c>
      <c r="I312" s="94" t="s">
        <v>304</v>
      </c>
      <c r="J312" s="28"/>
      <c r="K312" s="29"/>
      <c r="L312" s="28"/>
      <c r="M312" s="28"/>
      <c r="N312" s="28"/>
      <c r="O312" s="28"/>
      <c r="P312" s="28"/>
      <c r="Q312" s="28"/>
      <c r="R312" s="28"/>
      <c r="S312" s="28"/>
      <c r="T312" s="28"/>
    </row>
    <row r="313" s="31" customFormat="1" spans="1:20">
      <c r="A313" s="69"/>
      <c r="B313" s="75"/>
      <c r="C313" s="71"/>
      <c r="D313" s="85"/>
      <c r="E313" s="72"/>
      <c r="F313" s="72"/>
      <c r="G313" s="73"/>
      <c r="H313" s="77"/>
      <c r="I313" s="94"/>
      <c r="J313" s="28"/>
      <c r="K313" s="29"/>
      <c r="L313" s="28"/>
      <c r="M313" s="28"/>
      <c r="N313" s="28"/>
      <c r="O313" s="28"/>
      <c r="P313" s="28"/>
      <c r="Q313" s="28"/>
      <c r="R313" s="28"/>
      <c r="S313" s="28"/>
      <c r="T313" s="28"/>
    </row>
    <row r="314" s="31" customFormat="1" ht="31.5" spans="1:20">
      <c r="A314" s="69" t="s">
        <v>305</v>
      </c>
      <c r="B314" s="70" t="s">
        <v>306</v>
      </c>
      <c r="C314" s="71" t="s">
        <v>104</v>
      </c>
      <c r="D314" s="85">
        <v>45</v>
      </c>
      <c r="E314" s="72">
        <v>43.77</v>
      </c>
      <c r="F314" s="72">
        <f>IF(E314="","",ROUND(E314+(E314*$D$4),2))</f>
        <v>53.78</v>
      </c>
      <c r="G314" s="73">
        <f>D314*F314</f>
        <v>2420.1</v>
      </c>
      <c r="H314" s="85">
        <v>45</v>
      </c>
      <c r="I314" s="94" t="s">
        <v>293</v>
      </c>
      <c r="J314" s="28"/>
      <c r="K314" s="29"/>
      <c r="L314" s="28"/>
      <c r="M314" s="28"/>
      <c r="N314" s="28"/>
      <c r="O314" s="28"/>
      <c r="P314" s="28"/>
      <c r="Q314" s="28"/>
      <c r="R314" s="28"/>
      <c r="S314" s="28"/>
      <c r="T314" s="28"/>
    </row>
    <row r="315" s="31" customFormat="1" spans="1:20">
      <c r="A315" s="69"/>
      <c r="B315" s="75"/>
      <c r="C315" s="71"/>
      <c r="D315" s="85"/>
      <c r="E315" s="72"/>
      <c r="F315" s="72"/>
      <c r="G315" s="73"/>
      <c r="H315" s="77"/>
      <c r="I315" s="94"/>
      <c r="J315" s="28"/>
      <c r="K315" s="29"/>
      <c r="L315" s="28"/>
      <c r="M315" s="28"/>
      <c r="N315" s="28"/>
      <c r="O315" s="28"/>
      <c r="P315" s="28"/>
      <c r="Q315" s="28"/>
      <c r="R315" s="28"/>
      <c r="S315" s="28"/>
      <c r="T315" s="28"/>
    </row>
    <row r="316" s="31" customFormat="1" spans="1:20">
      <c r="A316" s="69"/>
      <c r="B316" s="75"/>
      <c r="C316" s="71"/>
      <c r="D316" s="85"/>
      <c r="E316" s="72"/>
      <c r="F316" s="72"/>
      <c r="G316" s="73"/>
      <c r="H316" s="77"/>
      <c r="I316" s="94"/>
      <c r="J316" s="28"/>
      <c r="K316" s="29"/>
      <c r="L316" s="28"/>
      <c r="M316" s="28"/>
      <c r="N316" s="28"/>
      <c r="O316" s="28"/>
      <c r="P316" s="28"/>
      <c r="Q316" s="28"/>
      <c r="R316" s="28"/>
      <c r="S316" s="28"/>
      <c r="T316" s="28"/>
    </row>
    <row r="317" s="31" customFormat="1" spans="1:20">
      <c r="A317" s="69"/>
      <c r="B317" s="75"/>
      <c r="C317" s="71"/>
      <c r="D317" s="85"/>
      <c r="E317" s="72"/>
      <c r="F317" s="72"/>
      <c r="G317" s="73"/>
      <c r="H317" s="77"/>
      <c r="I317" s="94"/>
      <c r="J317" s="28"/>
      <c r="K317" s="29"/>
      <c r="L317" s="28"/>
      <c r="M317" s="28"/>
      <c r="N317" s="28"/>
      <c r="O317" s="28"/>
      <c r="P317" s="28"/>
      <c r="Q317" s="28"/>
      <c r="R317" s="28"/>
      <c r="S317" s="28"/>
      <c r="T317" s="28"/>
    </row>
    <row r="318" s="31" customFormat="1" spans="1:20">
      <c r="A318" s="69"/>
      <c r="B318" s="75"/>
      <c r="C318" s="71"/>
      <c r="D318" s="85"/>
      <c r="E318" s="72"/>
      <c r="F318" s="72"/>
      <c r="G318" s="73"/>
      <c r="H318" s="77"/>
      <c r="I318" s="94"/>
      <c r="J318" s="28"/>
      <c r="K318" s="29"/>
      <c r="L318" s="28"/>
      <c r="M318" s="28"/>
      <c r="N318" s="28"/>
      <c r="O318" s="28"/>
      <c r="P318" s="28"/>
      <c r="Q318" s="28"/>
      <c r="R318" s="28"/>
      <c r="S318" s="28"/>
      <c r="T318" s="28"/>
    </row>
    <row r="319" s="31" customFormat="1" spans="1:20">
      <c r="A319" s="69" t="s">
        <v>307</v>
      </c>
      <c r="B319" s="99" t="s">
        <v>308</v>
      </c>
      <c r="C319" s="71"/>
      <c r="D319" s="85"/>
      <c r="E319" s="72"/>
      <c r="F319" s="72"/>
      <c r="G319" s="73"/>
      <c r="H319" s="77"/>
      <c r="I319" s="94"/>
      <c r="J319" s="28"/>
      <c r="K319" s="29"/>
      <c r="L319" s="28"/>
      <c r="M319" s="28"/>
      <c r="N319" s="28"/>
      <c r="O319" s="28"/>
      <c r="P319" s="28"/>
      <c r="Q319" s="28"/>
      <c r="R319" s="28"/>
      <c r="S319" s="28"/>
      <c r="T319" s="28"/>
    </row>
    <row r="320" s="31" customFormat="1" ht="110.25" spans="1:20">
      <c r="A320" s="69"/>
      <c r="B320" s="75" t="s">
        <v>309</v>
      </c>
      <c r="C320" s="71"/>
      <c r="D320" s="85"/>
      <c r="E320" s="72"/>
      <c r="F320" s="72"/>
      <c r="G320" s="73"/>
      <c r="H320" s="77"/>
      <c r="I320" s="94"/>
      <c r="J320" s="28"/>
      <c r="K320" s="29"/>
      <c r="L320" s="28"/>
      <c r="M320" s="28"/>
      <c r="N320" s="28"/>
      <c r="O320" s="28"/>
      <c r="P320" s="28"/>
      <c r="Q320" s="28"/>
      <c r="R320" s="28"/>
      <c r="S320" s="28"/>
      <c r="T320" s="28"/>
    </row>
    <row r="321" s="31" customFormat="1" spans="1:20">
      <c r="A321" s="69"/>
      <c r="B321" s="99"/>
      <c r="C321" s="71"/>
      <c r="D321" s="85"/>
      <c r="E321" s="72"/>
      <c r="F321" s="72"/>
      <c r="G321" s="73"/>
      <c r="H321" s="77"/>
      <c r="I321" s="94"/>
      <c r="J321" s="28"/>
      <c r="K321" s="29"/>
      <c r="L321" s="28"/>
      <c r="M321" s="28"/>
      <c r="N321" s="28"/>
      <c r="O321" s="28"/>
      <c r="P321" s="28"/>
      <c r="Q321" s="28"/>
      <c r="R321" s="28"/>
      <c r="S321" s="28"/>
      <c r="T321" s="28"/>
    </row>
    <row r="322" s="31" customFormat="1" spans="1:20">
      <c r="A322" s="69"/>
      <c r="B322" s="115"/>
      <c r="C322" s="71"/>
      <c r="D322" s="85"/>
      <c r="E322" s="72"/>
      <c r="F322" s="72"/>
      <c r="G322" s="73"/>
      <c r="H322" s="77"/>
      <c r="I322" s="94"/>
      <c r="J322" s="28"/>
      <c r="K322" s="29"/>
      <c r="L322" s="28"/>
      <c r="M322" s="28"/>
      <c r="N322" s="28"/>
      <c r="O322" s="28"/>
      <c r="P322" s="28"/>
      <c r="Q322" s="28"/>
      <c r="R322" s="28"/>
      <c r="S322" s="28"/>
      <c r="T322" s="28"/>
    </row>
    <row r="323" s="31" customFormat="1" ht="31.5" spans="1:20">
      <c r="A323" s="69" t="s">
        <v>310</v>
      </c>
      <c r="B323" s="78" t="s">
        <v>311</v>
      </c>
      <c r="C323" s="71" t="s">
        <v>104</v>
      </c>
      <c r="D323" s="85">
        <f>(5*2+22+5*2+10+25)</f>
        <v>77</v>
      </c>
      <c r="E323" s="72">
        <v>11.23</v>
      </c>
      <c r="F323" s="72">
        <f>IF(E323="","",ROUND(E323+(E323*$D$4),2))</f>
        <v>13.8</v>
      </c>
      <c r="G323" s="73">
        <f>D323*F323</f>
        <v>1062.6</v>
      </c>
      <c r="H323" s="85">
        <v>77</v>
      </c>
      <c r="I323" s="94" t="s">
        <v>312</v>
      </c>
      <c r="J323" s="28"/>
      <c r="K323" s="29"/>
      <c r="L323" s="28"/>
      <c r="M323" s="28"/>
      <c r="N323" s="28"/>
      <c r="O323" s="28"/>
      <c r="P323" s="28"/>
      <c r="Q323" s="28"/>
      <c r="R323" s="28"/>
      <c r="S323" s="28"/>
      <c r="T323" s="28"/>
    </row>
    <row r="324" s="31" customFormat="1" spans="1:20">
      <c r="A324" s="69"/>
      <c r="B324" s="115"/>
      <c r="C324" s="71"/>
      <c r="D324" s="85"/>
      <c r="E324" s="72"/>
      <c r="F324" s="72"/>
      <c r="G324" s="73"/>
      <c r="H324" s="77"/>
      <c r="I324" s="94"/>
      <c r="J324" s="28"/>
      <c r="K324" s="29"/>
      <c r="L324" s="28"/>
      <c r="M324" s="28"/>
      <c r="N324" s="28"/>
      <c r="O324" s="28"/>
      <c r="P324" s="28"/>
      <c r="Q324" s="28"/>
      <c r="R324" s="28"/>
      <c r="S324" s="28"/>
      <c r="T324" s="28"/>
    </row>
    <row r="325" s="31" customFormat="1" spans="1:20">
      <c r="A325" s="69" t="s">
        <v>313</v>
      </c>
      <c r="B325" s="70" t="s">
        <v>314</v>
      </c>
      <c r="C325" s="71" t="s">
        <v>27</v>
      </c>
      <c r="D325" s="85">
        <v>11</v>
      </c>
      <c r="E325" s="72">
        <v>8.9</v>
      </c>
      <c r="F325" s="72">
        <f>IF(E325="","",ROUND(E325+(E325*$D$4),2))</f>
        <v>10.94</v>
      </c>
      <c r="G325" s="73">
        <f>D325*F325</f>
        <v>120.34</v>
      </c>
      <c r="H325" s="85">
        <v>11</v>
      </c>
      <c r="I325" s="94"/>
      <c r="J325" s="28"/>
      <c r="K325" s="29"/>
      <c r="L325" s="28"/>
      <c r="M325" s="28"/>
      <c r="N325" s="28"/>
      <c r="O325" s="28"/>
      <c r="P325" s="28"/>
      <c r="Q325" s="28"/>
      <c r="R325" s="28"/>
      <c r="S325" s="28"/>
      <c r="T325" s="28"/>
    </row>
    <row r="326" s="31" customFormat="1" ht="63" spans="1:20">
      <c r="A326" s="69"/>
      <c r="B326" s="75" t="s">
        <v>315</v>
      </c>
      <c r="C326" s="71"/>
      <c r="D326" s="85"/>
      <c r="E326" s="72"/>
      <c r="F326" s="72"/>
      <c r="G326" s="73"/>
      <c r="H326" s="77"/>
      <c r="I326" s="94"/>
      <c r="J326" s="28"/>
      <c r="K326" s="29"/>
      <c r="L326" s="28"/>
      <c r="M326" s="28"/>
      <c r="N326" s="28"/>
      <c r="O326" s="28"/>
      <c r="P326" s="28"/>
      <c r="Q326" s="28"/>
      <c r="R326" s="28"/>
      <c r="S326" s="28"/>
      <c r="T326" s="28"/>
    </row>
    <row r="327" s="31" customFormat="1" spans="1:20">
      <c r="A327" s="69"/>
      <c r="B327" s="75"/>
      <c r="C327" s="71"/>
      <c r="D327" s="85"/>
      <c r="E327" s="72"/>
      <c r="F327" s="72"/>
      <c r="G327" s="73"/>
      <c r="H327" s="77"/>
      <c r="I327" s="94"/>
      <c r="J327" s="28"/>
      <c r="K327" s="29"/>
      <c r="L327" s="28"/>
      <c r="M327" s="28"/>
      <c r="N327" s="28"/>
      <c r="O327" s="28"/>
      <c r="P327" s="28"/>
      <c r="Q327" s="28"/>
      <c r="R327" s="28"/>
      <c r="S327" s="28"/>
      <c r="T327" s="28"/>
    </row>
    <row r="328" s="31" customFormat="1" spans="1:20">
      <c r="A328" s="69"/>
      <c r="B328" s="75"/>
      <c r="C328" s="71"/>
      <c r="D328" s="85"/>
      <c r="E328" s="72"/>
      <c r="F328" s="72"/>
      <c r="G328" s="73"/>
      <c r="H328" s="77"/>
      <c r="I328" s="94"/>
      <c r="J328" s="28"/>
      <c r="K328" s="29"/>
      <c r="L328" s="28"/>
      <c r="M328" s="28"/>
      <c r="N328" s="28"/>
      <c r="O328" s="28"/>
      <c r="P328" s="28"/>
      <c r="Q328" s="28"/>
      <c r="R328" s="28"/>
      <c r="S328" s="28"/>
      <c r="T328" s="28"/>
    </row>
    <row r="329" s="31" customFormat="1" spans="1:20">
      <c r="A329" s="69" t="s">
        <v>316</v>
      </c>
      <c r="B329" s="70" t="s">
        <v>317</v>
      </c>
      <c r="C329" s="71" t="s">
        <v>27</v>
      </c>
      <c r="D329" s="85">
        <v>3</v>
      </c>
      <c r="E329" s="72">
        <v>10.43</v>
      </c>
      <c r="F329" s="72">
        <f>IF(E329="","",ROUND(E329+(E329*$D$4),2))</f>
        <v>12.82</v>
      </c>
      <c r="G329" s="73">
        <f>D329*F329</f>
        <v>38.46</v>
      </c>
      <c r="H329" s="85">
        <v>3</v>
      </c>
      <c r="I329" s="94"/>
      <c r="J329" s="28"/>
      <c r="K329" s="29"/>
      <c r="L329" s="28"/>
      <c r="M329" s="28"/>
      <c r="N329" s="28"/>
      <c r="O329" s="28"/>
      <c r="P329" s="28"/>
      <c r="Q329" s="28"/>
      <c r="R329" s="28"/>
      <c r="S329" s="28"/>
      <c r="T329" s="28"/>
    </row>
    <row r="330" s="31" customFormat="1" ht="63" spans="1:20">
      <c r="A330" s="69"/>
      <c r="B330" s="75" t="s">
        <v>318</v>
      </c>
      <c r="C330" s="71"/>
      <c r="D330" s="85"/>
      <c r="E330" s="72"/>
      <c r="F330" s="72"/>
      <c r="G330" s="73"/>
      <c r="H330" s="74"/>
      <c r="I330" s="94"/>
      <c r="J330" s="28"/>
      <c r="K330" s="29"/>
      <c r="L330" s="28"/>
      <c r="M330" s="28"/>
      <c r="N330" s="28"/>
      <c r="O330" s="28"/>
      <c r="P330" s="28"/>
      <c r="Q330" s="28"/>
      <c r="R330" s="28"/>
      <c r="S330" s="28"/>
      <c r="T330" s="28"/>
    </row>
    <row r="331" s="31" customFormat="1" spans="1:20">
      <c r="A331" s="69"/>
      <c r="B331" s="75"/>
      <c r="C331" s="71"/>
      <c r="D331" s="85"/>
      <c r="E331" s="72"/>
      <c r="F331" s="72"/>
      <c r="G331" s="73"/>
      <c r="H331" s="77"/>
      <c r="I331" s="94"/>
      <c r="J331" s="28"/>
      <c r="K331" s="29"/>
      <c r="L331" s="28"/>
      <c r="M331" s="28"/>
      <c r="N331" s="28"/>
      <c r="O331" s="28"/>
      <c r="P331" s="28"/>
      <c r="Q331" s="28"/>
      <c r="R331" s="28"/>
      <c r="S331" s="28"/>
      <c r="T331" s="28"/>
    </row>
    <row r="332" s="31" customFormat="1" spans="1:20">
      <c r="A332" s="69"/>
      <c r="B332" s="75"/>
      <c r="C332" s="71"/>
      <c r="D332" s="85"/>
      <c r="E332" s="72"/>
      <c r="F332" s="72"/>
      <c r="G332" s="73"/>
      <c r="H332" s="77"/>
      <c r="I332" s="94"/>
      <c r="J332" s="28"/>
      <c r="K332" s="29"/>
      <c r="L332" s="28"/>
      <c r="M332" s="28"/>
      <c r="N332" s="28"/>
      <c r="O332" s="28"/>
      <c r="P332" s="28"/>
      <c r="Q332" s="28"/>
      <c r="R332" s="28"/>
      <c r="S332" s="28"/>
      <c r="T332" s="28"/>
    </row>
    <row r="333" s="31" customFormat="1" hidden="1" spans="1:20">
      <c r="A333" s="69"/>
      <c r="B333" s="75"/>
      <c r="C333" s="71"/>
      <c r="D333" s="85"/>
      <c r="E333" s="72"/>
      <c r="F333" s="72"/>
      <c r="G333" s="73"/>
      <c r="H333" s="77"/>
      <c r="I333" s="94"/>
      <c r="J333" s="28"/>
      <c r="K333" s="29"/>
      <c r="L333" s="28"/>
      <c r="M333" s="28"/>
      <c r="N333" s="28"/>
      <c r="O333" s="28"/>
      <c r="P333" s="28"/>
      <c r="Q333" s="28"/>
      <c r="R333" s="28"/>
      <c r="S333" s="28"/>
      <c r="T333" s="28"/>
    </row>
    <row r="334" s="31" customFormat="1" hidden="1" spans="1:20">
      <c r="A334" s="69"/>
      <c r="B334" s="75"/>
      <c r="C334" s="71"/>
      <c r="D334" s="85"/>
      <c r="E334" s="72"/>
      <c r="F334" s="72"/>
      <c r="G334" s="73"/>
      <c r="H334" s="77"/>
      <c r="I334" s="94"/>
      <c r="J334" s="28"/>
      <c r="K334" s="29"/>
      <c r="L334" s="28"/>
      <c r="M334" s="28"/>
      <c r="N334" s="28"/>
      <c r="O334" s="28"/>
      <c r="P334" s="28"/>
      <c r="Q334" s="28"/>
      <c r="R334" s="28"/>
      <c r="S334" s="28"/>
      <c r="T334" s="28"/>
    </row>
    <row r="335" s="31" customFormat="1" hidden="1" spans="1:20">
      <c r="A335" s="69"/>
      <c r="B335" s="75"/>
      <c r="C335" s="71"/>
      <c r="D335" s="85"/>
      <c r="E335" s="72"/>
      <c r="F335" s="72"/>
      <c r="G335" s="73"/>
      <c r="H335" s="77"/>
      <c r="I335" s="94"/>
      <c r="J335" s="28"/>
      <c r="K335" s="29"/>
      <c r="L335" s="28"/>
      <c r="M335" s="28"/>
      <c r="N335" s="28"/>
      <c r="O335" s="28"/>
      <c r="P335" s="28"/>
      <c r="Q335" s="28"/>
      <c r="R335" s="28"/>
      <c r="S335" s="28"/>
      <c r="T335" s="28"/>
    </row>
    <row r="336" s="31" customFormat="1" hidden="1" spans="1:20">
      <c r="A336" s="69"/>
      <c r="B336" s="75"/>
      <c r="C336" s="71"/>
      <c r="D336" s="85"/>
      <c r="E336" s="72"/>
      <c r="F336" s="72"/>
      <c r="G336" s="73"/>
      <c r="H336" s="77"/>
      <c r="I336" s="94"/>
      <c r="J336" s="28"/>
      <c r="K336" s="29"/>
      <c r="L336" s="28"/>
      <c r="M336" s="28"/>
      <c r="N336" s="28"/>
      <c r="O336" s="28"/>
      <c r="P336" s="28"/>
      <c r="Q336" s="28"/>
      <c r="R336" s="28"/>
      <c r="S336" s="28"/>
      <c r="T336" s="28"/>
    </row>
    <row r="337" s="31" customFormat="1" hidden="1" spans="1:20">
      <c r="A337" s="69"/>
      <c r="B337" s="75"/>
      <c r="C337" s="71"/>
      <c r="D337" s="85"/>
      <c r="E337" s="72"/>
      <c r="F337" s="72"/>
      <c r="G337" s="73"/>
      <c r="H337" s="77"/>
      <c r="I337" s="94"/>
      <c r="J337" s="28"/>
      <c r="K337" s="29"/>
      <c r="L337" s="28"/>
      <c r="M337" s="28"/>
      <c r="N337" s="28"/>
      <c r="O337" s="28"/>
      <c r="P337" s="28"/>
      <c r="Q337" s="28"/>
      <c r="R337" s="28"/>
      <c r="S337" s="28"/>
      <c r="T337" s="28"/>
    </row>
    <row r="338" s="31" customFormat="1" hidden="1" spans="1:20">
      <c r="A338" s="69"/>
      <c r="B338" s="75"/>
      <c r="C338" s="71"/>
      <c r="D338" s="85"/>
      <c r="E338" s="72"/>
      <c r="F338" s="72"/>
      <c r="G338" s="73"/>
      <c r="H338" s="77"/>
      <c r="I338" s="94"/>
      <c r="J338" s="28"/>
      <c r="K338" s="29"/>
      <c r="L338" s="28"/>
      <c r="M338" s="28"/>
      <c r="N338" s="28"/>
      <c r="O338" s="28"/>
      <c r="P338" s="28"/>
      <c r="Q338" s="28"/>
      <c r="R338" s="28"/>
      <c r="S338" s="28"/>
      <c r="T338" s="28"/>
    </row>
    <row r="339" s="31" customFormat="1" hidden="1" spans="1:20">
      <c r="A339" s="69"/>
      <c r="B339" s="75"/>
      <c r="C339" s="71"/>
      <c r="D339" s="85"/>
      <c r="E339" s="72"/>
      <c r="F339" s="72"/>
      <c r="G339" s="73"/>
      <c r="H339" s="77"/>
      <c r="I339" s="94"/>
      <c r="J339" s="28"/>
      <c r="K339" s="29"/>
      <c r="L339" s="28"/>
      <c r="M339" s="28"/>
      <c r="N339" s="28"/>
      <c r="O339" s="28"/>
      <c r="P339" s="28"/>
      <c r="Q339" s="28"/>
      <c r="R339" s="28"/>
      <c r="S339" s="28"/>
      <c r="T339" s="28"/>
    </row>
    <row r="340" s="31" customFormat="1" hidden="1" spans="1:20">
      <c r="A340" s="69"/>
      <c r="B340" s="75"/>
      <c r="C340" s="71"/>
      <c r="D340" s="85"/>
      <c r="E340" s="72"/>
      <c r="F340" s="72"/>
      <c r="G340" s="73"/>
      <c r="H340" s="77"/>
      <c r="I340" s="94"/>
      <c r="J340" s="28"/>
      <c r="K340" s="29"/>
      <c r="L340" s="28"/>
      <c r="M340" s="28"/>
      <c r="N340" s="28"/>
      <c r="O340" s="28"/>
      <c r="P340" s="28"/>
      <c r="Q340" s="28"/>
      <c r="R340" s="28"/>
      <c r="S340" s="28"/>
      <c r="T340" s="28"/>
    </row>
    <row r="341" s="31" customFormat="1" hidden="1" spans="1:20">
      <c r="A341" s="69"/>
      <c r="B341" s="70"/>
      <c r="C341" s="71"/>
      <c r="D341" s="85"/>
      <c r="E341" s="72"/>
      <c r="F341" s="72"/>
      <c r="G341" s="73"/>
      <c r="H341" s="77"/>
      <c r="I341" s="94"/>
      <c r="J341" s="28"/>
      <c r="K341" s="29"/>
      <c r="L341" s="28"/>
      <c r="M341" s="28"/>
      <c r="N341" s="28"/>
      <c r="O341" s="28"/>
      <c r="P341" s="28"/>
      <c r="Q341" s="28"/>
      <c r="R341" s="28"/>
      <c r="S341" s="28"/>
      <c r="T341" s="28"/>
    </row>
    <row r="342" s="31" customFormat="1" ht="31.5" spans="1:20">
      <c r="A342" s="69" t="s">
        <v>319</v>
      </c>
      <c r="B342" s="70" t="s">
        <v>320</v>
      </c>
      <c r="C342" s="71" t="s">
        <v>27</v>
      </c>
      <c r="D342" s="85">
        <v>12</v>
      </c>
      <c r="E342" s="72">
        <v>474.32</v>
      </c>
      <c r="F342" s="72">
        <f>IF(E342="","",ROUND(E342+(E342*$D$4),2))</f>
        <v>582.84</v>
      </c>
      <c r="G342" s="73">
        <f>D342*F342</f>
        <v>6994.08</v>
      </c>
      <c r="H342" s="85">
        <v>12</v>
      </c>
      <c r="I342" s="94"/>
      <c r="J342" s="28"/>
      <c r="K342" s="29"/>
      <c r="L342" s="28"/>
      <c r="M342" s="28"/>
      <c r="N342" s="28"/>
      <c r="O342" s="28"/>
      <c r="P342" s="28"/>
      <c r="Q342" s="28"/>
      <c r="R342" s="28"/>
      <c r="S342" s="28"/>
      <c r="T342" s="28"/>
    </row>
    <row r="343" s="31" customFormat="1" ht="141.75" spans="1:20">
      <c r="A343" s="69"/>
      <c r="B343" s="75" t="s">
        <v>321</v>
      </c>
      <c r="C343" s="71"/>
      <c r="D343" s="85"/>
      <c r="E343" s="72"/>
      <c r="F343" s="72"/>
      <c r="G343" s="73"/>
      <c r="H343" s="77"/>
      <c r="I343" s="94"/>
      <c r="J343" s="28"/>
      <c r="K343" s="29"/>
      <c r="L343" s="28"/>
      <c r="M343" s="28"/>
      <c r="N343" s="28"/>
      <c r="O343" s="28"/>
      <c r="P343" s="28"/>
      <c r="Q343" s="28"/>
      <c r="R343" s="28"/>
      <c r="S343" s="28"/>
      <c r="T343" s="28"/>
    </row>
    <row r="344" s="31" customFormat="1" spans="1:20">
      <c r="A344" s="69"/>
      <c r="B344" s="75"/>
      <c r="C344" s="71"/>
      <c r="D344" s="85"/>
      <c r="E344" s="72"/>
      <c r="F344" s="72"/>
      <c r="G344" s="73"/>
      <c r="H344" s="77"/>
      <c r="I344" s="94"/>
      <c r="J344" s="28"/>
      <c r="K344" s="29"/>
      <c r="L344" s="28"/>
      <c r="M344" s="28"/>
      <c r="N344" s="28"/>
      <c r="O344" s="28"/>
      <c r="P344" s="28"/>
      <c r="Q344" s="28"/>
      <c r="R344" s="28"/>
      <c r="S344" s="28"/>
      <c r="T344" s="28"/>
    </row>
    <row r="345" s="31" customFormat="1" spans="1:20">
      <c r="A345" s="69"/>
      <c r="B345" s="70"/>
      <c r="C345" s="71"/>
      <c r="D345" s="85"/>
      <c r="E345" s="72"/>
      <c r="F345" s="72"/>
      <c r="G345" s="73"/>
      <c r="H345" s="77"/>
      <c r="I345" s="94"/>
      <c r="J345" s="28"/>
      <c r="K345" s="29"/>
      <c r="L345" s="28"/>
      <c r="M345" s="28"/>
      <c r="N345" s="28"/>
      <c r="O345" s="28"/>
      <c r="P345" s="28"/>
      <c r="Q345" s="28"/>
      <c r="R345" s="28"/>
      <c r="S345" s="28"/>
      <c r="T345" s="28"/>
    </row>
    <row r="346" s="31" customFormat="1" spans="1:20">
      <c r="A346" s="69" t="s">
        <v>322</v>
      </c>
      <c r="B346" s="99" t="s">
        <v>323</v>
      </c>
      <c r="C346" s="71"/>
      <c r="D346" s="85"/>
      <c r="E346" s="72"/>
      <c r="F346" s="72"/>
      <c r="G346" s="73"/>
      <c r="H346" s="77"/>
      <c r="I346" s="94"/>
      <c r="J346" s="28"/>
      <c r="K346" s="29"/>
      <c r="L346" s="28"/>
      <c r="M346" s="28"/>
      <c r="N346" s="28"/>
      <c r="O346" s="28"/>
      <c r="P346" s="28"/>
      <c r="Q346" s="28"/>
      <c r="R346" s="28"/>
      <c r="S346" s="28"/>
      <c r="T346" s="28"/>
    </row>
    <row r="347" s="31" customFormat="1" ht="94.5" spans="1:20">
      <c r="A347" s="69"/>
      <c r="B347" s="75" t="s">
        <v>324</v>
      </c>
      <c r="C347" s="71"/>
      <c r="D347" s="85"/>
      <c r="E347" s="72"/>
      <c r="F347" s="72"/>
      <c r="G347" s="73"/>
      <c r="H347" s="77"/>
      <c r="I347" s="94"/>
      <c r="J347" s="28"/>
      <c r="K347" s="29"/>
      <c r="L347" s="28"/>
      <c r="M347" s="28"/>
      <c r="N347" s="28"/>
      <c r="O347" s="28"/>
      <c r="P347" s="28"/>
      <c r="Q347" s="28"/>
      <c r="R347" s="28"/>
      <c r="S347" s="28"/>
      <c r="T347" s="28"/>
    </row>
    <row r="348" s="31" customFormat="1" spans="1:20">
      <c r="A348" s="69"/>
      <c r="B348" s="75"/>
      <c r="C348" s="71"/>
      <c r="D348" s="85"/>
      <c r="E348" s="72"/>
      <c r="F348" s="72"/>
      <c r="G348" s="73"/>
      <c r="H348" s="77"/>
      <c r="I348" s="94"/>
      <c r="J348" s="28"/>
      <c r="K348" s="29"/>
      <c r="L348" s="28"/>
      <c r="M348" s="28"/>
      <c r="N348" s="28"/>
      <c r="O348" s="28"/>
      <c r="P348" s="28"/>
      <c r="Q348" s="28"/>
      <c r="R348" s="28"/>
      <c r="S348" s="28"/>
      <c r="T348" s="28"/>
    </row>
    <row r="349" s="31" customFormat="1" spans="1:20">
      <c r="A349" s="69"/>
      <c r="B349" s="75"/>
      <c r="C349" s="71"/>
      <c r="D349" s="85"/>
      <c r="E349" s="72"/>
      <c r="F349" s="72"/>
      <c r="G349" s="73"/>
      <c r="H349" s="74"/>
      <c r="I349" s="94"/>
      <c r="J349" s="28"/>
      <c r="K349" s="29"/>
      <c r="L349" s="28"/>
      <c r="M349" s="28"/>
      <c r="N349" s="28"/>
      <c r="O349" s="28"/>
      <c r="P349" s="28"/>
      <c r="Q349" s="28"/>
      <c r="R349" s="28"/>
      <c r="S349" s="28"/>
      <c r="T349" s="28"/>
    </row>
    <row r="350" s="31" customFormat="1" ht="31.5" spans="1:20">
      <c r="A350" s="69" t="s">
        <v>325</v>
      </c>
      <c r="B350" s="70" t="s">
        <v>326</v>
      </c>
      <c r="C350" s="71" t="s">
        <v>27</v>
      </c>
      <c r="D350" s="85">
        <v>1</v>
      </c>
      <c r="E350" s="72">
        <v>269.18</v>
      </c>
      <c r="F350" s="72">
        <f>IF(E350="","",ROUND(E350+(E350*$D$4),2))</f>
        <v>330.77</v>
      </c>
      <c r="G350" s="73">
        <f>D350*F350</f>
        <v>330.77</v>
      </c>
      <c r="H350" s="74">
        <v>1</v>
      </c>
      <c r="I350" s="94"/>
      <c r="J350" s="28"/>
      <c r="K350" s="29"/>
      <c r="L350" s="28"/>
      <c r="M350" s="28"/>
      <c r="N350" s="28"/>
      <c r="O350" s="28"/>
      <c r="P350" s="28"/>
      <c r="Q350" s="28"/>
      <c r="R350" s="28"/>
      <c r="S350" s="28"/>
      <c r="T350" s="28"/>
    </row>
    <row r="351" s="31" customFormat="1" spans="1:20">
      <c r="A351" s="69"/>
      <c r="B351" s="75"/>
      <c r="C351" s="71"/>
      <c r="D351" s="85"/>
      <c r="E351" s="72"/>
      <c r="F351" s="72"/>
      <c r="G351" s="73"/>
      <c r="H351" s="77"/>
      <c r="I351" s="94"/>
      <c r="J351" s="28"/>
      <c r="K351" s="29"/>
      <c r="L351" s="28"/>
      <c r="M351" s="28"/>
      <c r="N351" s="28"/>
      <c r="O351" s="28"/>
      <c r="P351" s="28"/>
      <c r="Q351" s="28"/>
      <c r="R351" s="28"/>
      <c r="S351" s="28"/>
      <c r="T351" s="28"/>
    </row>
    <row r="352" s="31" customFormat="1" spans="1:20">
      <c r="A352" s="100"/>
      <c r="B352" s="70"/>
      <c r="C352" s="81" t="s">
        <v>41</v>
      </c>
      <c r="D352" s="81"/>
      <c r="E352" s="81"/>
      <c r="F352" s="81"/>
      <c r="G352" s="82">
        <f>SUM(G260:G351)</f>
        <v>22814.72</v>
      </c>
      <c r="H352" s="77"/>
      <c r="I352" s="94"/>
      <c r="J352" s="28"/>
      <c r="K352" s="29"/>
      <c r="L352" s="28"/>
      <c r="M352" s="28"/>
      <c r="N352" s="28"/>
      <c r="O352" s="28"/>
      <c r="P352" s="28"/>
      <c r="Q352" s="28"/>
      <c r="R352" s="28"/>
      <c r="S352" s="28"/>
      <c r="T352" s="28"/>
    </row>
    <row r="353" s="31" customFormat="1" spans="1:20">
      <c r="A353" s="69" t="s">
        <v>327</v>
      </c>
      <c r="B353" s="83" t="s">
        <v>328</v>
      </c>
      <c r="C353" s="81"/>
      <c r="D353" s="85"/>
      <c r="E353" s="87"/>
      <c r="F353" s="87"/>
      <c r="G353" s="73"/>
      <c r="H353" s="77"/>
      <c r="I353" s="94"/>
      <c r="J353" s="28"/>
      <c r="K353" s="29"/>
      <c r="L353" s="28"/>
      <c r="M353" s="28"/>
      <c r="N353" s="28"/>
      <c r="O353" s="28"/>
      <c r="P353" s="28"/>
      <c r="Q353" s="28"/>
      <c r="R353" s="28"/>
      <c r="S353" s="28"/>
      <c r="T353" s="28"/>
    </row>
    <row r="354" s="31" customFormat="1" spans="1:20">
      <c r="A354" s="69" t="s">
        <v>329</v>
      </c>
      <c r="B354" s="99" t="s">
        <v>158</v>
      </c>
      <c r="C354" s="71"/>
      <c r="D354" s="85"/>
      <c r="E354" s="72"/>
      <c r="F354" s="72" t="str">
        <f>IF(E354="","",TRUNC(E354+(E354*$D$4),2))</f>
        <v/>
      </c>
      <c r="G354" s="73"/>
      <c r="H354" s="77"/>
      <c r="I354" s="94"/>
      <c r="J354" s="28"/>
      <c r="K354" s="29"/>
      <c r="L354" s="28"/>
      <c r="M354" s="28"/>
      <c r="N354" s="28"/>
      <c r="O354" s="28"/>
      <c r="P354" s="28"/>
      <c r="Q354" s="28"/>
      <c r="R354" s="28"/>
      <c r="S354" s="28"/>
      <c r="T354" s="28"/>
    </row>
    <row r="355" s="31" customFormat="1" ht="52.5" customHeight="1" spans="1:20">
      <c r="A355" s="69" t="s">
        <v>330</v>
      </c>
      <c r="B355" s="70" t="s">
        <v>331</v>
      </c>
      <c r="C355" s="71" t="s">
        <v>32</v>
      </c>
      <c r="D355" s="85">
        <f>0.8*2.1+1*2.1*2</f>
        <v>5.88</v>
      </c>
      <c r="E355" s="72">
        <v>467.59</v>
      </c>
      <c r="F355" s="72">
        <f>IF(E355="","",ROUND(E355+(E355*$D$4),2))</f>
        <v>574.57</v>
      </c>
      <c r="G355" s="73">
        <f>D355*F355</f>
        <v>3378.4716</v>
      </c>
      <c r="H355" s="77" t="s">
        <v>332</v>
      </c>
      <c r="I355" s="94" t="s">
        <v>333</v>
      </c>
      <c r="J355" s="28"/>
      <c r="K355" s="29"/>
      <c r="L355" s="28"/>
      <c r="M355" s="28"/>
      <c r="N355" s="28"/>
      <c r="O355" s="28"/>
      <c r="P355" s="28"/>
      <c r="Q355" s="28"/>
      <c r="R355" s="28"/>
      <c r="S355" s="28"/>
      <c r="T355" s="28"/>
    </row>
    <row r="356" s="31" customFormat="1" ht="162" customHeight="1" spans="1:20">
      <c r="A356" s="69"/>
      <c r="B356" s="75" t="s">
        <v>334</v>
      </c>
      <c r="C356" s="71"/>
      <c r="D356" s="85"/>
      <c r="E356" s="72"/>
      <c r="F356" s="72"/>
      <c r="G356" s="73"/>
      <c r="H356" s="77"/>
      <c r="I356" s="94"/>
      <c r="J356" s="28"/>
      <c r="K356" s="29"/>
      <c r="L356" s="28"/>
      <c r="M356" s="28"/>
      <c r="N356" s="28"/>
      <c r="O356" s="28"/>
      <c r="P356" s="28"/>
      <c r="Q356" s="28"/>
      <c r="R356" s="28"/>
      <c r="S356" s="28"/>
      <c r="T356" s="28"/>
    </row>
    <row r="357" s="31" customFormat="1" spans="1:20">
      <c r="A357" s="69"/>
      <c r="B357" s="75"/>
      <c r="C357" s="71"/>
      <c r="D357" s="85"/>
      <c r="E357" s="72"/>
      <c r="F357" s="72"/>
      <c r="G357" s="73"/>
      <c r="H357" s="77"/>
      <c r="I357" s="94"/>
      <c r="J357" s="28"/>
      <c r="K357" s="29"/>
      <c r="L357" s="28"/>
      <c r="M357" s="28"/>
      <c r="N357" s="28"/>
      <c r="O357" s="28"/>
      <c r="P357" s="28"/>
      <c r="Q357" s="28"/>
      <c r="R357" s="28"/>
      <c r="S357" s="28"/>
      <c r="T357" s="28"/>
    </row>
    <row r="358" s="31" customFormat="1" ht="1.5" customHeight="1" spans="1:20">
      <c r="A358" s="69"/>
      <c r="B358" s="75"/>
      <c r="C358" s="71"/>
      <c r="D358" s="85"/>
      <c r="E358" s="72"/>
      <c r="F358" s="72"/>
      <c r="G358" s="73"/>
      <c r="H358" s="77"/>
      <c r="I358" s="94"/>
      <c r="J358" s="28"/>
      <c r="K358" s="29"/>
      <c r="L358" s="28"/>
      <c r="M358" s="28"/>
      <c r="N358" s="28"/>
      <c r="O358" s="28"/>
      <c r="P358" s="28"/>
      <c r="Q358" s="28"/>
      <c r="R358" s="28"/>
      <c r="S358" s="28"/>
      <c r="T358" s="28"/>
    </row>
    <row r="359" s="31" customFormat="1" hidden="1" spans="1:20">
      <c r="A359" s="69"/>
      <c r="B359" s="75"/>
      <c r="C359" s="71"/>
      <c r="D359" s="85"/>
      <c r="E359" s="72"/>
      <c r="F359" s="72"/>
      <c r="G359" s="73"/>
      <c r="H359" s="77"/>
      <c r="I359" s="94"/>
      <c r="J359" s="28"/>
      <c r="K359" s="29"/>
      <c r="L359" s="28"/>
      <c r="M359" s="28"/>
      <c r="N359" s="28"/>
      <c r="O359" s="28"/>
      <c r="P359" s="28"/>
      <c r="Q359" s="28"/>
      <c r="R359" s="28"/>
      <c r="S359" s="28"/>
      <c r="T359" s="28"/>
    </row>
    <row r="360" s="31" customFormat="1" ht="54.75" customHeight="1" spans="1:20">
      <c r="A360" s="69" t="s">
        <v>335</v>
      </c>
      <c r="B360" s="70" t="s">
        <v>336</v>
      </c>
      <c r="C360" s="71" t="s">
        <v>32</v>
      </c>
      <c r="D360" s="85">
        <f>0.8*1*4</f>
        <v>3.2</v>
      </c>
      <c r="E360" s="72">
        <v>705.42</v>
      </c>
      <c r="F360" s="72">
        <f>IF(E360="","",ROUND(E360+(E360*$D$4),2))</f>
        <v>866.82</v>
      </c>
      <c r="G360" s="73">
        <f>D360*F360</f>
        <v>2773.824</v>
      </c>
      <c r="H360" s="77" t="s">
        <v>337</v>
      </c>
      <c r="I360" s="94" t="s">
        <v>338</v>
      </c>
      <c r="J360" s="28"/>
      <c r="K360" s="29"/>
      <c r="L360" s="28"/>
      <c r="M360" s="28"/>
      <c r="N360" s="28"/>
      <c r="O360" s="28"/>
      <c r="P360" s="28"/>
      <c r="Q360" s="28"/>
      <c r="R360" s="28"/>
      <c r="S360" s="28"/>
      <c r="T360" s="28"/>
    </row>
    <row r="361" s="31" customFormat="1" ht="148.5" customHeight="1" spans="1:20">
      <c r="A361" s="69"/>
      <c r="B361" s="75" t="s">
        <v>339</v>
      </c>
      <c r="C361" s="71"/>
      <c r="D361" s="85"/>
      <c r="E361" s="72"/>
      <c r="F361" s="72"/>
      <c r="G361" s="73"/>
      <c r="H361" s="77"/>
      <c r="I361" s="94"/>
      <c r="J361" s="28"/>
      <c r="K361" s="29"/>
      <c r="L361" s="28"/>
      <c r="M361" s="28"/>
      <c r="N361" s="28"/>
      <c r="O361" s="28"/>
      <c r="P361" s="28"/>
      <c r="Q361" s="28"/>
      <c r="R361" s="28"/>
      <c r="S361" s="28"/>
      <c r="T361" s="28"/>
    </row>
    <row r="362" s="31" customFormat="1" spans="1:20">
      <c r="A362" s="69"/>
      <c r="B362" s="75"/>
      <c r="C362" s="71"/>
      <c r="D362" s="85"/>
      <c r="E362" s="72"/>
      <c r="F362" s="72"/>
      <c r="G362" s="73"/>
      <c r="H362" s="77"/>
      <c r="I362" s="94"/>
      <c r="J362" s="28"/>
      <c r="K362" s="29"/>
      <c r="L362" s="28"/>
      <c r="M362" s="28"/>
      <c r="N362" s="28"/>
      <c r="O362" s="28"/>
      <c r="P362" s="28"/>
      <c r="Q362" s="28"/>
      <c r="R362" s="28"/>
      <c r="S362" s="28"/>
      <c r="T362" s="28"/>
    </row>
    <row r="363" s="31" customFormat="1" spans="1:20">
      <c r="A363" s="69"/>
      <c r="B363" s="70"/>
      <c r="C363" s="81" t="s">
        <v>41</v>
      </c>
      <c r="D363" s="81"/>
      <c r="E363" s="81"/>
      <c r="F363" s="81"/>
      <c r="G363" s="82">
        <f>SUM(G355:G362)</f>
        <v>6152.2956</v>
      </c>
      <c r="H363" s="77"/>
      <c r="I363" s="94"/>
      <c r="J363" s="28"/>
      <c r="K363" s="29"/>
      <c r="L363" s="28"/>
      <c r="M363" s="28"/>
      <c r="N363" s="28"/>
      <c r="O363" s="28"/>
      <c r="P363" s="28"/>
      <c r="Q363" s="28"/>
      <c r="R363" s="28"/>
      <c r="S363" s="28"/>
      <c r="T363" s="28"/>
    </row>
    <row r="364" s="31" customFormat="1" spans="1:20">
      <c r="A364" s="69">
        <v>130000</v>
      </c>
      <c r="B364" s="83" t="s">
        <v>340</v>
      </c>
      <c r="C364" s="84"/>
      <c r="D364" s="85"/>
      <c r="E364" s="87"/>
      <c r="F364" s="87"/>
      <c r="G364" s="73"/>
      <c r="H364" s="77"/>
      <c r="I364" s="94"/>
      <c r="J364" s="28"/>
      <c r="K364" s="29"/>
      <c r="L364" s="28"/>
      <c r="M364" s="28"/>
      <c r="N364" s="28"/>
      <c r="O364" s="28"/>
      <c r="P364" s="28"/>
      <c r="Q364" s="28"/>
      <c r="R364" s="28"/>
      <c r="S364" s="28"/>
      <c r="T364" s="28"/>
    </row>
    <row r="365" s="31" customFormat="1" spans="1:20">
      <c r="A365" s="69">
        <v>130100</v>
      </c>
      <c r="B365" s="99" t="s">
        <v>341</v>
      </c>
      <c r="C365" s="84"/>
      <c r="D365" s="85"/>
      <c r="E365" s="72"/>
      <c r="F365" s="72"/>
      <c r="G365" s="73"/>
      <c r="H365" s="77"/>
      <c r="I365" s="94"/>
      <c r="J365" s="28"/>
      <c r="K365" s="29"/>
      <c r="L365" s="28"/>
      <c r="M365" s="28"/>
      <c r="N365" s="28"/>
      <c r="O365" s="28"/>
      <c r="P365" s="28"/>
      <c r="Q365" s="28"/>
      <c r="R365" s="28"/>
      <c r="S365" s="28"/>
      <c r="T365" s="28"/>
    </row>
    <row r="366" s="31" customFormat="1" ht="18" customHeight="1" spans="1:20">
      <c r="A366" s="69"/>
      <c r="B366" s="75"/>
      <c r="C366" s="71"/>
      <c r="D366" s="72"/>
      <c r="E366" s="72"/>
      <c r="F366" s="72"/>
      <c r="G366" s="73"/>
      <c r="H366" s="77"/>
      <c r="I366" s="94"/>
      <c r="J366" s="28"/>
      <c r="K366" s="29"/>
      <c r="L366" s="28"/>
      <c r="M366" s="28"/>
      <c r="N366" s="28"/>
      <c r="O366" s="28"/>
      <c r="P366" s="28"/>
      <c r="Q366" s="28"/>
      <c r="R366" s="28"/>
      <c r="S366" s="28"/>
      <c r="T366" s="28"/>
    </row>
    <row r="367" s="31" customFormat="1" spans="1:20">
      <c r="A367" s="69" t="s">
        <v>342</v>
      </c>
      <c r="B367" s="99" t="s">
        <v>343</v>
      </c>
      <c r="C367" s="71"/>
      <c r="D367" s="85"/>
      <c r="E367" s="72"/>
      <c r="F367" s="72"/>
      <c r="G367" s="73"/>
      <c r="H367" s="77"/>
      <c r="I367" s="94"/>
      <c r="J367" s="28"/>
      <c r="K367" s="29"/>
      <c r="L367" s="28"/>
      <c r="M367" s="28"/>
      <c r="N367" s="28"/>
      <c r="O367" s="28"/>
      <c r="P367" s="28"/>
      <c r="Q367" s="28"/>
      <c r="R367" s="28"/>
      <c r="S367" s="28"/>
      <c r="T367" s="28"/>
    </row>
    <row r="368" s="31" customFormat="1" spans="1:20">
      <c r="A368" s="69" t="s">
        <v>344</v>
      </c>
      <c r="B368" s="70" t="s">
        <v>345</v>
      </c>
      <c r="C368" s="71" t="s">
        <v>27</v>
      </c>
      <c r="D368" s="85">
        <v>4</v>
      </c>
      <c r="E368" s="72">
        <v>215.47</v>
      </c>
      <c r="F368" s="72">
        <f>IF(E368="","",ROUND(E368+(E368*$D$4),2))</f>
        <v>264.77</v>
      </c>
      <c r="G368" s="73">
        <f>D368*F368</f>
        <v>1059.08</v>
      </c>
      <c r="H368" s="77">
        <v>4</v>
      </c>
      <c r="I368" s="94"/>
      <c r="J368" s="28"/>
      <c r="K368" s="29"/>
      <c r="L368" s="28"/>
      <c r="M368" s="28"/>
      <c r="N368" s="28"/>
      <c r="O368" s="28"/>
      <c r="P368" s="28"/>
      <c r="Q368" s="28"/>
      <c r="R368" s="28"/>
      <c r="S368" s="28"/>
      <c r="T368" s="28"/>
    </row>
    <row r="369" s="31" customFormat="1" ht="94.5" spans="1:20">
      <c r="A369" s="69"/>
      <c r="B369" s="75" t="s">
        <v>346</v>
      </c>
      <c r="C369" s="71"/>
      <c r="D369" s="85"/>
      <c r="E369" s="72"/>
      <c r="F369" s="72" t="str">
        <f>IF(E369="","",ROUND(E369+(E369*$D$4),2))</f>
        <v/>
      </c>
      <c r="G369" s="73"/>
      <c r="H369" s="77"/>
      <c r="I369" s="94"/>
      <c r="J369" s="28"/>
      <c r="K369" s="29"/>
      <c r="L369" s="28"/>
      <c r="M369" s="28"/>
      <c r="N369" s="28"/>
      <c r="O369" s="28"/>
      <c r="P369" s="28"/>
      <c r="Q369" s="28"/>
      <c r="R369" s="28"/>
      <c r="S369" s="28"/>
      <c r="T369" s="28"/>
    </row>
    <row r="370" s="31" customFormat="1" spans="1:20">
      <c r="A370" s="69"/>
      <c r="B370" s="70"/>
      <c r="C370" s="71"/>
      <c r="D370" s="85"/>
      <c r="E370" s="72"/>
      <c r="F370" s="72"/>
      <c r="G370" s="73"/>
      <c r="H370" s="77"/>
      <c r="I370" s="94"/>
      <c r="J370" s="28"/>
      <c r="K370" s="29"/>
      <c r="L370" s="28"/>
      <c r="M370" s="28"/>
      <c r="N370" s="28"/>
      <c r="O370" s="28"/>
      <c r="P370" s="28"/>
      <c r="Q370" s="28"/>
      <c r="R370" s="28"/>
      <c r="S370" s="28"/>
      <c r="T370" s="28"/>
    </row>
    <row r="371" s="31" customFormat="1" ht="36" customHeight="1" spans="1:20">
      <c r="A371" s="69" t="s">
        <v>347</v>
      </c>
      <c r="B371" s="70" t="s">
        <v>348</v>
      </c>
      <c r="C371" s="71" t="s">
        <v>27</v>
      </c>
      <c r="D371" s="85">
        <v>2</v>
      </c>
      <c r="E371" s="72">
        <v>230.21</v>
      </c>
      <c r="F371" s="72">
        <f>IF(E371="","",ROUND(E371+(E371*$D$4),2))</f>
        <v>282.88</v>
      </c>
      <c r="G371" s="73">
        <f>D371*F371</f>
        <v>565.76</v>
      </c>
      <c r="H371" s="77">
        <v>2</v>
      </c>
      <c r="I371" s="94"/>
      <c r="J371" s="28"/>
      <c r="K371" s="29"/>
      <c r="L371" s="28"/>
      <c r="M371" s="28"/>
      <c r="N371" s="28"/>
      <c r="O371" s="28"/>
      <c r="P371" s="28"/>
      <c r="Q371" s="28"/>
      <c r="R371" s="28"/>
      <c r="S371" s="28"/>
      <c r="T371" s="28"/>
    </row>
    <row r="372" s="31" customFormat="1" ht="94.5" spans="1:20">
      <c r="A372" s="69"/>
      <c r="B372" s="75" t="s">
        <v>349</v>
      </c>
      <c r="C372" s="71"/>
      <c r="D372" s="85"/>
      <c r="E372" s="72"/>
      <c r="F372" s="72"/>
      <c r="G372" s="73"/>
      <c r="H372" s="77"/>
      <c r="I372" s="94"/>
      <c r="J372" s="28"/>
      <c r="K372" s="29"/>
      <c r="L372" s="28"/>
      <c r="M372" s="28"/>
      <c r="N372" s="28"/>
      <c r="O372" s="28"/>
      <c r="P372" s="28"/>
      <c r="Q372" s="28"/>
      <c r="R372" s="28"/>
      <c r="S372" s="28"/>
      <c r="T372" s="28"/>
    </row>
    <row r="373" s="31" customFormat="1" spans="1:20">
      <c r="A373" s="69"/>
      <c r="B373" s="75"/>
      <c r="C373" s="71"/>
      <c r="D373" s="85"/>
      <c r="E373" s="72"/>
      <c r="F373" s="72"/>
      <c r="G373" s="73"/>
      <c r="H373" s="77"/>
      <c r="I373" s="94"/>
      <c r="J373" s="28"/>
      <c r="K373" s="29"/>
      <c r="L373" s="28"/>
      <c r="M373" s="28"/>
      <c r="N373" s="28"/>
      <c r="O373" s="28"/>
      <c r="P373" s="28"/>
      <c r="Q373" s="28"/>
      <c r="R373" s="28"/>
      <c r="S373" s="28"/>
      <c r="T373" s="28"/>
    </row>
    <row r="374" s="31" customFormat="1" spans="1:20">
      <c r="A374" s="69"/>
      <c r="B374" s="75"/>
      <c r="C374" s="71"/>
      <c r="D374" s="85"/>
      <c r="E374" s="72"/>
      <c r="F374" s="72"/>
      <c r="G374" s="73"/>
      <c r="H374" s="77"/>
      <c r="I374" s="94"/>
      <c r="J374" s="28"/>
      <c r="K374" s="29"/>
      <c r="L374" s="28"/>
      <c r="M374" s="28"/>
      <c r="N374" s="28"/>
      <c r="O374" s="28"/>
      <c r="P374" s="28"/>
      <c r="Q374" s="28"/>
      <c r="R374" s="28"/>
      <c r="S374" s="28"/>
      <c r="T374" s="28"/>
    </row>
    <row r="375" s="31" customFormat="1" spans="1:20">
      <c r="A375" s="69"/>
      <c r="B375" s="75"/>
      <c r="C375" s="71"/>
      <c r="D375" s="85"/>
      <c r="E375" s="72"/>
      <c r="F375" s="72"/>
      <c r="G375" s="73"/>
      <c r="H375" s="77"/>
      <c r="I375" s="94"/>
      <c r="J375" s="28"/>
      <c r="K375" s="29"/>
      <c r="L375" s="28"/>
      <c r="M375" s="28"/>
      <c r="N375" s="28"/>
      <c r="O375" s="28"/>
      <c r="P375" s="28"/>
      <c r="Q375" s="28"/>
      <c r="R375" s="28"/>
      <c r="S375" s="28"/>
      <c r="T375" s="28"/>
    </row>
    <row r="376" s="31" customFormat="1" spans="1:20">
      <c r="A376" s="69"/>
      <c r="B376" s="75"/>
      <c r="C376" s="71"/>
      <c r="D376" s="85"/>
      <c r="E376" s="72"/>
      <c r="F376" s="72"/>
      <c r="G376" s="73"/>
      <c r="H376" s="77"/>
      <c r="I376" s="94"/>
      <c r="J376" s="28"/>
      <c r="K376" s="29"/>
      <c r="L376" s="28"/>
      <c r="M376" s="28"/>
      <c r="N376" s="28"/>
      <c r="O376" s="28"/>
      <c r="P376" s="28"/>
      <c r="Q376" s="28"/>
      <c r="R376" s="28"/>
      <c r="S376" s="28"/>
      <c r="T376" s="28"/>
    </row>
    <row r="377" s="31" customFormat="1" spans="1:20">
      <c r="A377" s="69"/>
      <c r="B377" s="75"/>
      <c r="C377" s="71"/>
      <c r="D377" s="85"/>
      <c r="E377" s="72"/>
      <c r="F377" s="72"/>
      <c r="G377" s="73"/>
      <c r="H377" s="77"/>
      <c r="I377" s="94"/>
      <c r="J377" s="28"/>
      <c r="K377" s="29"/>
      <c r="L377" s="28"/>
      <c r="M377" s="28"/>
      <c r="N377" s="28"/>
      <c r="O377" s="28"/>
      <c r="P377" s="28"/>
      <c r="Q377" s="28"/>
      <c r="R377" s="28"/>
      <c r="S377" s="28"/>
      <c r="T377" s="28"/>
    </row>
    <row r="378" s="31" customFormat="1" spans="1:20">
      <c r="A378" s="69"/>
      <c r="B378" s="75"/>
      <c r="C378" s="71"/>
      <c r="D378" s="85"/>
      <c r="E378" s="72"/>
      <c r="F378" s="72"/>
      <c r="G378" s="73"/>
      <c r="H378" s="77"/>
      <c r="I378" s="94"/>
      <c r="J378" s="28"/>
      <c r="K378" s="29"/>
      <c r="L378" s="28"/>
      <c r="M378" s="28"/>
      <c r="N378" s="28"/>
      <c r="O378" s="28"/>
      <c r="P378" s="28"/>
      <c r="Q378" s="28"/>
      <c r="R378" s="28"/>
      <c r="S378" s="28"/>
      <c r="T378" s="28"/>
    </row>
    <row r="379" s="31" customFormat="1" spans="1:20">
      <c r="A379" s="69"/>
      <c r="B379" s="75"/>
      <c r="C379" s="71"/>
      <c r="D379" s="85"/>
      <c r="E379" s="72"/>
      <c r="F379" s="72"/>
      <c r="G379" s="73"/>
      <c r="H379" s="77"/>
      <c r="I379" s="94"/>
      <c r="J379" s="28"/>
      <c r="K379" s="29"/>
      <c r="L379" s="28"/>
      <c r="M379" s="28"/>
      <c r="N379" s="28"/>
      <c r="O379" s="28"/>
      <c r="P379" s="28"/>
      <c r="Q379" s="28"/>
      <c r="R379" s="28"/>
      <c r="S379" s="28"/>
      <c r="T379" s="28"/>
    </row>
    <row r="380" s="31" customFormat="1" spans="1:20">
      <c r="A380" s="69"/>
      <c r="B380" s="75"/>
      <c r="C380" s="71"/>
      <c r="D380" s="85"/>
      <c r="E380" s="72"/>
      <c r="F380" s="72"/>
      <c r="G380" s="73"/>
      <c r="H380" s="77"/>
      <c r="I380" s="94"/>
      <c r="J380" s="28"/>
      <c r="K380" s="29"/>
      <c r="L380" s="28"/>
      <c r="M380" s="28"/>
      <c r="N380" s="28"/>
      <c r="O380" s="28"/>
      <c r="P380" s="28"/>
      <c r="Q380" s="28"/>
      <c r="R380" s="28"/>
      <c r="S380" s="28"/>
      <c r="T380" s="28"/>
    </row>
    <row r="381" s="31" customFormat="1" spans="1:20">
      <c r="A381" s="69" t="s">
        <v>350</v>
      </c>
      <c r="B381" s="70" t="s">
        <v>351</v>
      </c>
      <c r="C381" s="71" t="s">
        <v>104</v>
      </c>
      <c r="D381" s="85">
        <f>2.35+1.36+1.36+3.89+1.6*4</f>
        <v>15.36</v>
      </c>
      <c r="E381" s="72">
        <v>138.81</v>
      </c>
      <c r="F381" s="72">
        <f>IF(E381="","",ROUND(E381+(E381*$D$4),2))</f>
        <v>170.57</v>
      </c>
      <c r="G381" s="73">
        <f>D381*F381</f>
        <v>2619.9552</v>
      </c>
      <c r="H381" s="71" t="s">
        <v>352</v>
      </c>
      <c r="I381" s="94"/>
      <c r="J381" s="28"/>
      <c r="K381" s="29"/>
      <c r="L381" s="28"/>
      <c r="M381" s="28"/>
      <c r="N381" s="28"/>
      <c r="O381" s="28"/>
      <c r="P381" s="28"/>
      <c r="Q381" s="28"/>
      <c r="R381" s="28"/>
      <c r="S381" s="28"/>
      <c r="T381" s="28"/>
    </row>
    <row r="382" s="31" customFormat="1" ht="189" spans="1:20">
      <c r="A382" s="69"/>
      <c r="B382" s="75" t="s">
        <v>353</v>
      </c>
      <c r="C382" s="71"/>
      <c r="D382" s="85"/>
      <c r="E382" s="72"/>
      <c r="F382" s="72"/>
      <c r="G382" s="73"/>
      <c r="H382" s="77"/>
      <c r="I382" s="94"/>
      <c r="J382" s="28"/>
      <c r="K382" s="29"/>
      <c r="L382" s="28"/>
      <c r="M382" s="28"/>
      <c r="N382" s="28"/>
      <c r="O382" s="28"/>
      <c r="P382" s="28"/>
      <c r="Q382" s="28"/>
      <c r="R382" s="28"/>
      <c r="S382" s="28"/>
      <c r="T382" s="28"/>
    </row>
    <row r="383" s="31" customFormat="1" spans="1:20">
      <c r="A383" s="69"/>
      <c r="B383" s="75"/>
      <c r="C383" s="71"/>
      <c r="D383" s="85"/>
      <c r="E383" s="72"/>
      <c r="F383" s="72"/>
      <c r="G383" s="73"/>
      <c r="H383" s="77"/>
      <c r="I383" s="94"/>
      <c r="J383" s="28"/>
      <c r="K383" s="29"/>
      <c r="L383" s="28"/>
      <c r="M383" s="28"/>
      <c r="N383" s="28"/>
      <c r="O383" s="28"/>
      <c r="P383" s="28"/>
      <c r="Q383" s="28"/>
      <c r="R383" s="28"/>
      <c r="S383" s="28"/>
      <c r="T383" s="28"/>
    </row>
    <row r="384" s="31" customFormat="1" ht="31.5" spans="1:20">
      <c r="A384" s="69" t="s">
        <v>354</v>
      </c>
      <c r="B384" s="70" t="s">
        <v>355</v>
      </c>
      <c r="C384" s="71" t="s">
        <v>104</v>
      </c>
      <c r="D384" s="85">
        <f>2.35+3.89+1.6*4</f>
        <v>12.64</v>
      </c>
      <c r="E384" s="72">
        <v>670.42</v>
      </c>
      <c r="F384" s="72">
        <f>IF(E384="","",ROUND(E384+(E384*$D$4),2))</f>
        <v>823.81</v>
      </c>
      <c r="G384" s="73">
        <f>D384*F384</f>
        <v>10412.9584</v>
      </c>
      <c r="H384" s="71" t="s">
        <v>356</v>
      </c>
      <c r="I384" s="94"/>
      <c r="J384" s="28"/>
      <c r="K384" s="29"/>
      <c r="L384" s="28"/>
      <c r="M384" s="28"/>
      <c r="N384" s="28"/>
      <c r="O384" s="28"/>
      <c r="P384" s="28"/>
      <c r="Q384" s="28"/>
      <c r="R384" s="28"/>
      <c r="S384" s="28"/>
      <c r="T384" s="28"/>
    </row>
    <row r="385" s="31" customFormat="1" ht="237.75" customHeight="1" spans="1:20">
      <c r="A385" s="69"/>
      <c r="B385" s="75" t="s">
        <v>357</v>
      </c>
      <c r="C385" s="71"/>
      <c r="D385" s="85"/>
      <c r="E385" s="72"/>
      <c r="F385" s="72"/>
      <c r="G385" s="73"/>
      <c r="H385" s="77"/>
      <c r="I385" s="94"/>
      <c r="J385" s="28"/>
      <c r="K385" s="29"/>
      <c r="L385" s="28"/>
      <c r="M385" s="28"/>
      <c r="N385" s="28"/>
      <c r="O385" s="28"/>
      <c r="P385" s="28"/>
      <c r="Q385" s="28"/>
      <c r="R385" s="28"/>
      <c r="S385" s="28"/>
      <c r="T385" s="28"/>
    </row>
    <row r="386" s="31" customFormat="1" spans="1:20">
      <c r="A386" s="69"/>
      <c r="B386" s="70"/>
      <c r="C386" s="81" t="s">
        <v>41</v>
      </c>
      <c r="D386" s="81"/>
      <c r="E386" s="81"/>
      <c r="F386" s="81"/>
      <c r="G386" s="82">
        <f>SUM(G366:G385)</f>
        <v>14657.7536</v>
      </c>
      <c r="H386" s="77"/>
      <c r="I386" s="94"/>
      <c r="J386" s="28"/>
      <c r="K386" s="29"/>
      <c r="L386" s="28"/>
      <c r="M386" s="28"/>
      <c r="N386" s="28"/>
      <c r="O386" s="28"/>
      <c r="P386" s="28"/>
      <c r="Q386" s="28"/>
      <c r="R386" s="28"/>
      <c r="S386" s="28"/>
      <c r="T386" s="28"/>
    </row>
    <row r="387" s="31" customFormat="1" spans="1:20">
      <c r="A387" s="69"/>
      <c r="B387" s="70"/>
      <c r="C387" s="81"/>
      <c r="D387" s="81"/>
      <c r="E387" s="81"/>
      <c r="F387" s="81"/>
      <c r="G387" s="82"/>
      <c r="H387" s="77"/>
      <c r="I387" s="94"/>
      <c r="J387" s="28"/>
      <c r="K387" s="29"/>
      <c r="L387" s="28"/>
      <c r="M387" s="28"/>
      <c r="N387" s="28"/>
      <c r="O387" s="28"/>
      <c r="P387" s="28"/>
      <c r="Q387" s="28"/>
      <c r="R387" s="28"/>
      <c r="S387" s="28"/>
      <c r="T387" s="28"/>
    </row>
    <row r="388" s="31" customFormat="1" spans="1:20">
      <c r="A388" s="69"/>
      <c r="B388" s="70"/>
      <c r="C388" s="81"/>
      <c r="D388" s="81"/>
      <c r="E388" s="81"/>
      <c r="F388" s="81"/>
      <c r="G388" s="82"/>
      <c r="H388" s="77"/>
      <c r="I388" s="94"/>
      <c r="J388" s="28"/>
      <c r="K388" s="29"/>
      <c r="L388" s="28"/>
      <c r="M388" s="28"/>
      <c r="N388" s="28"/>
      <c r="O388" s="28"/>
      <c r="P388" s="28"/>
      <c r="Q388" s="28"/>
      <c r="R388" s="28"/>
      <c r="S388" s="28"/>
      <c r="T388" s="28"/>
    </row>
    <row r="389" s="31" customFormat="1" spans="1:20">
      <c r="A389" s="69"/>
      <c r="B389" s="70"/>
      <c r="C389" s="81"/>
      <c r="D389" s="81"/>
      <c r="E389" s="81"/>
      <c r="F389" s="81"/>
      <c r="G389" s="82"/>
      <c r="H389" s="77"/>
      <c r="I389" s="94"/>
      <c r="J389" s="28"/>
      <c r="K389" s="29"/>
      <c r="L389" s="28"/>
      <c r="M389" s="28"/>
      <c r="N389" s="28"/>
      <c r="O389" s="28"/>
      <c r="P389" s="28"/>
      <c r="Q389" s="28"/>
      <c r="R389" s="28"/>
      <c r="S389" s="28"/>
      <c r="T389" s="28"/>
    </row>
    <row r="390" s="31" customFormat="1" spans="1:20">
      <c r="A390" s="69"/>
      <c r="B390" s="70"/>
      <c r="C390" s="81"/>
      <c r="D390" s="81"/>
      <c r="E390" s="81"/>
      <c r="F390" s="81"/>
      <c r="G390" s="82"/>
      <c r="H390" s="77"/>
      <c r="I390" s="94"/>
      <c r="J390" s="28"/>
      <c r="K390" s="29"/>
      <c r="L390" s="28"/>
      <c r="M390" s="28"/>
      <c r="N390" s="28"/>
      <c r="O390" s="28"/>
      <c r="P390" s="28"/>
      <c r="Q390" s="28"/>
      <c r="R390" s="28"/>
      <c r="S390" s="28"/>
      <c r="T390" s="28"/>
    </row>
    <row r="391" s="31" customFormat="1" spans="1:20">
      <c r="A391" s="69"/>
      <c r="B391" s="70"/>
      <c r="C391" s="81"/>
      <c r="D391" s="81"/>
      <c r="E391" s="81"/>
      <c r="F391" s="81"/>
      <c r="G391" s="82"/>
      <c r="H391" s="77"/>
      <c r="I391" s="94"/>
      <c r="J391" s="28"/>
      <c r="K391" s="29"/>
      <c r="L391" s="28"/>
      <c r="M391" s="28"/>
      <c r="N391" s="28"/>
      <c r="O391" s="28"/>
      <c r="P391" s="28"/>
      <c r="Q391" s="28"/>
      <c r="R391" s="28"/>
      <c r="S391" s="28"/>
      <c r="T391" s="28"/>
    </row>
    <row r="392" s="31" customFormat="1" spans="1:20">
      <c r="A392" s="69"/>
      <c r="B392" s="70"/>
      <c r="C392" s="81"/>
      <c r="D392" s="81"/>
      <c r="E392" s="81"/>
      <c r="F392" s="81"/>
      <c r="G392" s="82"/>
      <c r="H392" s="77"/>
      <c r="I392" s="94"/>
      <c r="J392" s="28"/>
      <c r="K392" s="29"/>
      <c r="L392" s="28"/>
      <c r="M392" s="28"/>
      <c r="N392" s="28"/>
      <c r="O392" s="28"/>
      <c r="P392" s="28"/>
      <c r="Q392" s="28"/>
      <c r="R392" s="28"/>
      <c r="S392" s="28"/>
      <c r="T392" s="28"/>
    </row>
    <row r="393" s="31" customFormat="1" spans="1:20">
      <c r="A393" s="69"/>
      <c r="B393" s="70"/>
      <c r="C393" s="81"/>
      <c r="D393" s="81"/>
      <c r="E393" s="81"/>
      <c r="F393" s="81"/>
      <c r="G393" s="82"/>
      <c r="H393" s="77"/>
      <c r="I393" s="94"/>
      <c r="J393" s="28"/>
      <c r="K393" s="29"/>
      <c r="L393" s="28"/>
      <c r="M393" s="28"/>
      <c r="N393" s="28"/>
      <c r="O393" s="28"/>
      <c r="P393" s="28"/>
      <c r="Q393" s="28"/>
      <c r="R393" s="28"/>
      <c r="S393" s="28"/>
      <c r="T393" s="28"/>
    </row>
    <row r="394" s="31" customFormat="1" spans="1:20">
      <c r="A394" s="69"/>
      <c r="B394" s="70"/>
      <c r="C394" s="81"/>
      <c r="D394" s="81"/>
      <c r="E394" s="81"/>
      <c r="F394" s="81"/>
      <c r="G394" s="82"/>
      <c r="H394" s="77"/>
      <c r="I394" s="94"/>
      <c r="J394" s="28"/>
      <c r="K394" s="29"/>
      <c r="L394" s="28"/>
      <c r="M394" s="28"/>
      <c r="N394" s="28"/>
      <c r="O394" s="28"/>
      <c r="P394" s="28"/>
      <c r="Q394" s="28"/>
      <c r="R394" s="28"/>
      <c r="S394" s="28"/>
      <c r="T394" s="28"/>
    </row>
    <row r="395" s="31" customFormat="1" spans="1:20">
      <c r="A395" s="69">
        <v>140000</v>
      </c>
      <c r="B395" s="83" t="s">
        <v>358</v>
      </c>
      <c r="C395" s="84"/>
      <c r="D395" s="85"/>
      <c r="E395" s="87"/>
      <c r="F395" s="87"/>
      <c r="G395" s="73"/>
      <c r="H395" s="77"/>
      <c r="I395" s="94"/>
      <c r="J395" s="28"/>
      <c r="K395" s="29"/>
      <c r="L395" s="28"/>
      <c r="M395" s="28"/>
      <c r="N395" s="28"/>
      <c r="O395" s="28"/>
      <c r="P395" s="28"/>
      <c r="Q395" s="28"/>
      <c r="R395" s="28"/>
      <c r="S395" s="28"/>
      <c r="T395" s="28"/>
    </row>
    <row r="396" s="31" customFormat="1" spans="1:20">
      <c r="A396" s="69">
        <v>140100</v>
      </c>
      <c r="B396" s="99" t="s">
        <v>122</v>
      </c>
      <c r="C396" s="84"/>
      <c r="D396" s="85"/>
      <c r="E396" s="72"/>
      <c r="F396" s="72"/>
      <c r="G396" s="73"/>
      <c r="H396" s="77"/>
      <c r="I396" s="94"/>
      <c r="J396" s="28"/>
      <c r="K396" s="29"/>
      <c r="L396" s="28"/>
      <c r="M396" s="28"/>
      <c r="N396" s="28"/>
      <c r="O396" s="28"/>
      <c r="P396" s="28"/>
      <c r="Q396" s="28"/>
      <c r="R396" s="28"/>
      <c r="S396" s="28"/>
      <c r="T396" s="28"/>
    </row>
    <row r="397" s="31" customFormat="1" ht="43.5" customHeight="1" spans="1:20">
      <c r="A397" s="69">
        <v>140101</v>
      </c>
      <c r="B397" s="70" t="s">
        <v>359</v>
      </c>
      <c r="C397" s="71" t="s">
        <v>21</v>
      </c>
      <c r="D397" s="85">
        <f>(1.82*3*2+2.11*3*2)*2</f>
        <v>47.16</v>
      </c>
      <c r="E397" s="72">
        <v>29.15</v>
      </c>
      <c r="F397" s="72">
        <f>IF(E397="","",ROUND(E397+(E397*$D$4),2))</f>
        <v>35.82</v>
      </c>
      <c r="G397" s="73">
        <f>D397*F397</f>
        <v>1689.2712</v>
      </c>
      <c r="H397" s="85" t="s">
        <v>360</v>
      </c>
      <c r="I397" s="94" t="s">
        <v>219</v>
      </c>
      <c r="J397" s="28"/>
      <c r="K397" s="29"/>
      <c r="L397" s="28"/>
      <c r="M397" s="28"/>
      <c r="N397" s="28"/>
      <c r="O397" s="28"/>
      <c r="P397" s="28"/>
      <c r="Q397" s="28"/>
      <c r="R397" s="28"/>
      <c r="S397" s="28"/>
      <c r="T397" s="28"/>
    </row>
    <row r="398" s="31" customFormat="1" ht="78.75" spans="1:20">
      <c r="A398" s="69"/>
      <c r="B398" s="75" t="s">
        <v>361</v>
      </c>
      <c r="C398" s="71"/>
      <c r="D398" s="85"/>
      <c r="E398" s="72"/>
      <c r="F398" s="72"/>
      <c r="G398" s="73"/>
      <c r="H398" s="77"/>
      <c r="I398" s="94"/>
      <c r="J398" s="28"/>
      <c r="K398" s="29"/>
      <c r="L398" s="28"/>
      <c r="M398" s="28"/>
      <c r="N398" s="28"/>
      <c r="O398" s="28"/>
      <c r="P398" s="28"/>
      <c r="Q398" s="28"/>
      <c r="R398" s="28"/>
      <c r="S398" s="28"/>
      <c r="T398" s="28"/>
    </row>
    <row r="399" s="31" customFormat="1" spans="1:20">
      <c r="A399" s="69"/>
      <c r="B399" s="75"/>
      <c r="C399" s="71"/>
      <c r="D399" s="85"/>
      <c r="E399" s="72"/>
      <c r="F399" s="72"/>
      <c r="G399" s="73"/>
      <c r="H399" s="77"/>
      <c r="I399" s="94"/>
      <c r="J399" s="28"/>
      <c r="K399" s="29"/>
      <c r="L399" s="28"/>
      <c r="M399" s="28"/>
      <c r="N399" s="28"/>
      <c r="O399" s="28"/>
      <c r="P399" s="28"/>
      <c r="Q399" s="28"/>
      <c r="R399" s="28"/>
      <c r="S399" s="28"/>
      <c r="T399" s="28"/>
    </row>
    <row r="400" s="31" customFormat="1" ht="156" customHeight="1" spans="1:20">
      <c r="A400" s="69" t="s">
        <v>362</v>
      </c>
      <c r="B400" s="70" t="s">
        <v>363</v>
      </c>
      <c r="C400" s="71" t="s">
        <v>21</v>
      </c>
      <c r="D400" s="85">
        <f>D403-D397</f>
        <v>440.5416</v>
      </c>
      <c r="E400" s="72">
        <v>30.73</v>
      </c>
      <c r="F400" s="72">
        <f>IF(E400="","",ROUND(E400+(E400*$D$4),2))</f>
        <v>37.76</v>
      </c>
      <c r="G400" s="73">
        <f>D400*F400</f>
        <v>16634.850816</v>
      </c>
      <c r="H400" s="77" t="s">
        <v>364</v>
      </c>
      <c r="I400" s="94"/>
      <c r="J400" s="28"/>
      <c r="K400" s="29"/>
      <c r="L400" s="28"/>
      <c r="M400" s="28"/>
      <c r="N400" s="28"/>
      <c r="O400" s="28"/>
      <c r="P400" s="28"/>
      <c r="Q400" s="28"/>
      <c r="R400" s="28"/>
      <c r="S400" s="28"/>
      <c r="T400" s="28"/>
    </row>
    <row r="401" s="31" customFormat="1" ht="78.75" customHeight="1" spans="1:20">
      <c r="A401" s="69"/>
      <c r="B401" s="75" t="s">
        <v>365</v>
      </c>
      <c r="C401" s="71"/>
      <c r="D401" s="85"/>
      <c r="E401" s="72"/>
      <c r="F401" s="72"/>
      <c r="G401" s="73"/>
      <c r="H401" s="77"/>
      <c r="I401" s="94"/>
      <c r="J401" s="28"/>
      <c r="K401" s="29"/>
      <c r="L401" s="28"/>
      <c r="M401" s="28"/>
      <c r="N401" s="28"/>
      <c r="O401" s="28"/>
      <c r="P401" s="28"/>
      <c r="Q401" s="28"/>
      <c r="R401" s="28"/>
      <c r="S401" s="28"/>
      <c r="T401" s="28"/>
    </row>
    <row r="402" s="31" customFormat="1" spans="1:20">
      <c r="A402" s="69"/>
      <c r="B402" s="75"/>
      <c r="C402" s="71"/>
      <c r="D402" s="85"/>
      <c r="E402" s="72"/>
      <c r="F402" s="72"/>
      <c r="G402" s="73"/>
      <c r="H402" s="77"/>
      <c r="I402" s="94"/>
      <c r="J402" s="28"/>
      <c r="K402" s="29"/>
      <c r="L402" s="28"/>
      <c r="M402" s="28"/>
      <c r="N402" s="28"/>
      <c r="O402" s="28"/>
      <c r="P402" s="28"/>
      <c r="Q402" s="28"/>
      <c r="R402" s="28"/>
      <c r="S402" s="28"/>
      <c r="T402" s="28"/>
    </row>
    <row r="403" s="31" customFormat="1" ht="126" spans="1:20">
      <c r="A403" s="69" t="s">
        <v>366</v>
      </c>
      <c r="B403" s="70" t="s">
        <v>367</v>
      </c>
      <c r="C403" s="71" t="s">
        <v>21</v>
      </c>
      <c r="D403" s="85">
        <f>(28-4.7-1.6)*1.5*4+18*3+18*1.5*2+21.62*4*0.5+(3.75+1.66)*0.5*2+2.58*3+2.58*2.5*2+4.5*4*3+3.74*2.35*2+1.24*2.5+8.24*0.52+4.7*2*3+4.78*3*3+1.82*4+4.78*1.82+3.74*2.58-1.6*1.5+4.78*1+2.02*1</f>
        <v>487.7016</v>
      </c>
      <c r="E403" s="72">
        <v>8.08</v>
      </c>
      <c r="F403" s="72">
        <f>IF(E403="","",ROUND(E403+(E403*$D$4),2))</f>
        <v>9.93</v>
      </c>
      <c r="G403" s="73">
        <f>D403*F403</f>
        <v>4842.876888</v>
      </c>
      <c r="H403" s="77" t="s">
        <v>368</v>
      </c>
      <c r="I403" s="94"/>
      <c r="J403" s="28"/>
      <c r="K403" s="29"/>
      <c r="L403" s="28"/>
      <c r="M403" s="28"/>
      <c r="N403" s="28"/>
      <c r="O403" s="28"/>
      <c r="P403" s="28"/>
      <c r="Q403" s="28"/>
      <c r="R403" s="28"/>
      <c r="S403" s="28"/>
      <c r="T403" s="28"/>
    </row>
    <row r="404" s="31" customFormat="1" ht="78.75" spans="1:20">
      <c r="A404" s="69"/>
      <c r="B404" s="75" t="s">
        <v>369</v>
      </c>
      <c r="C404" s="71"/>
      <c r="D404" s="85"/>
      <c r="E404" s="72"/>
      <c r="F404" s="72"/>
      <c r="G404" s="73"/>
      <c r="H404" s="77"/>
      <c r="I404" s="94"/>
      <c r="J404" s="28"/>
      <c r="K404" s="29"/>
      <c r="L404" s="28"/>
      <c r="M404" s="28"/>
      <c r="N404" s="28"/>
      <c r="O404" s="28"/>
      <c r="P404" s="28"/>
      <c r="Q404" s="28"/>
      <c r="R404" s="28"/>
      <c r="S404" s="28"/>
      <c r="T404" s="28"/>
    </row>
    <row r="405" s="31" customFormat="1" spans="1:20">
      <c r="A405" s="69"/>
      <c r="B405" s="70"/>
      <c r="C405" s="71"/>
      <c r="D405" s="85"/>
      <c r="E405" s="72"/>
      <c r="F405" s="72"/>
      <c r="G405" s="73"/>
      <c r="H405" s="77"/>
      <c r="I405" s="94"/>
      <c r="J405" s="28"/>
      <c r="K405" s="29"/>
      <c r="L405" s="28"/>
      <c r="M405" s="28"/>
      <c r="N405" s="28"/>
      <c r="O405" s="28"/>
      <c r="P405" s="28"/>
      <c r="Q405" s="28"/>
      <c r="R405" s="28"/>
      <c r="S405" s="28"/>
      <c r="T405" s="28"/>
    </row>
    <row r="406" s="31" customFormat="1" spans="1:20">
      <c r="A406" s="69"/>
      <c r="B406" s="70"/>
      <c r="C406" s="71"/>
      <c r="D406" s="85"/>
      <c r="E406" s="72"/>
      <c r="F406" s="72"/>
      <c r="G406" s="73"/>
      <c r="H406" s="77"/>
      <c r="I406" s="94"/>
      <c r="J406" s="28"/>
      <c r="K406" s="29"/>
      <c r="L406" s="28"/>
      <c r="M406" s="28"/>
      <c r="N406" s="28"/>
      <c r="O406" s="28"/>
      <c r="P406" s="28"/>
      <c r="Q406" s="28"/>
      <c r="R406" s="28"/>
      <c r="S406" s="28"/>
      <c r="T406" s="28"/>
    </row>
    <row r="407" s="31" customFormat="1" ht="31.5" spans="1:20">
      <c r="A407" s="69" t="s">
        <v>370</v>
      </c>
      <c r="B407" s="120" t="s">
        <v>371</v>
      </c>
      <c r="C407" s="71" t="s">
        <v>21</v>
      </c>
      <c r="D407" s="85">
        <f>D397</f>
        <v>47.16</v>
      </c>
      <c r="E407" s="72">
        <v>83.21</v>
      </c>
      <c r="F407" s="72">
        <f>IF(E407="","",ROUND(E407+(E407*$D$4),2))</f>
        <v>102.25</v>
      </c>
      <c r="G407" s="73">
        <f>D407*F407</f>
        <v>4822.11</v>
      </c>
      <c r="H407" s="85" t="s">
        <v>360</v>
      </c>
      <c r="I407" s="94" t="s">
        <v>219</v>
      </c>
      <c r="J407" s="28"/>
      <c r="K407" s="29"/>
      <c r="L407" s="28"/>
      <c r="M407" s="28"/>
      <c r="N407" s="28"/>
      <c r="O407" s="28"/>
      <c r="P407" s="28"/>
      <c r="Q407" s="28"/>
      <c r="R407" s="28"/>
      <c r="S407" s="28"/>
      <c r="T407" s="28"/>
    </row>
    <row r="408" s="31" customFormat="1" ht="309" customHeight="1" spans="1:20">
      <c r="A408" s="69"/>
      <c r="B408" s="75" t="s">
        <v>372</v>
      </c>
      <c r="C408" s="71"/>
      <c r="D408" s="85"/>
      <c r="E408" s="72"/>
      <c r="F408" s="72"/>
      <c r="G408" s="73"/>
      <c r="H408" s="77"/>
      <c r="I408" s="94"/>
      <c r="J408" s="28"/>
      <c r="K408" s="29"/>
      <c r="L408" s="28"/>
      <c r="M408" s="28"/>
      <c r="N408" s="28"/>
      <c r="O408" s="28"/>
      <c r="P408" s="28"/>
      <c r="Q408" s="28"/>
      <c r="R408" s="28"/>
      <c r="S408" s="28"/>
      <c r="T408" s="28"/>
    </row>
    <row r="409" s="31" customFormat="1" spans="1:20">
      <c r="A409" s="69"/>
      <c r="B409" s="121"/>
      <c r="C409" s="71"/>
      <c r="D409" s="85"/>
      <c r="E409" s="72"/>
      <c r="F409" s="72"/>
      <c r="G409" s="73"/>
      <c r="H409" s="77"/>
      <c r="I409" s="94"/>
      <c r="J409" s="28"/>
      <c r="K409" s="29"/>
      <c r="L409" s="28"/>
      <c r="M409" s="28"/>
      <c r="N409" s="28"/>
      <c r="O409" s="28"/>
      <c r="P409" s="28"/>
      <c r="Q409" s="28"/>
      <c r="R409" s="28"/>
      <c r="S409" s="28"/>
      <c r="T409" s="28"/>
    </row>
    <row r="410" s="31" customFormat="1" spans="1:20">
      <c r="A410" s="100"/>
      <c r="B410" s="86"/>
      <c r="C410" s="81" t="s">
        <v>41</v>
      </c>
      <c r="D410" s="81"/>
      <c r="E410" s="81"/>
      <c r="F410" s="81"/>
      <c r="G410" s="82">
        <f>SUM(G397:G409)</f>
        <v>27989.108904</v>
      </c>
      <c r="H410" s="77"/>
      <c r="I410" s="94"/>
      <c r="J410" s="28"/>
      <c r="K410" s="29"/>
      <c r="L410" s="28"/>
      <c r="M410" s="28"/>
      <c r="N410" s="28"/>
      <c r="O410" s="28"/>
      <c r="P410" s="28"/>
      <c r="Q410" s="28"/>
      <c r="R410" s="28"/>
      <c r="S410" s="28"/>
      <c r="T410" s="28"/>
    </row>
    <row r="411" s="31" customFormat="1" spans="1:20">
      <c r="A411" s="100"/>
      <c r="B411" s="86"/>
      <c r="C411" s="81"/>
      <c r="D411" s="81"/>
      <c r="E411" s="81"/>
      <c r="F411" s="81"/>
      <c r="G411" s="82"/>
      <c r="H411" s="77"/>
      <c r="I411" s="94"/>
      <c r="J411" s="28"/>
      <c r="K411" s="29"/>
      <c r="L411" s="28"/>
      <c r="M411" s="28"/>
      <c r="N411" s="28"/>
      <c r="O411" s="28"/>
      <c r="P411" s="28"/>
      <c r="Q411" s="28"/>
      <c r="R411" s="28"/>
      <c r="S411" s="28"/>
      <c r="T411" s="28"/>
    </row>
    <row r="412" s="31" customFormat="1" spans="1:20">
      <c r="A412" s="100"/>
      <c r="B412" s="86"/>
      <c r="C412" s="81"/>
      <c r="D412" s="81"/>
      <c r="E412" s="81"/>
      <c r="F412" s="81"/>
      <c r="G412" s="82"/>
      <c r="H412" s="77"/>
      <c r="I412" s="94"/>
      <c r="J412" s="28"/>
      <c r="K412" s="29"/>
      <c r="L412" s="28"/>
      <c r="M412" s="28"/>
      <c r="N412" s="28"/>
      <c r="O412" s="28"/>
      <c r="P412" s="28"/>
      <c r="Q412" s="28"/>
      <c r="R412" s="28"/>
      <c r="S412" s="28"/>
      <c r="T412" s="28"/>
    </row>
    <row r="413" s="31" customFormat="1" spans="1:20">
      <c r="A413" s="100"/>
      <c r="B413" s="86"/>
      <c r="C413" s="81"/>
      <c r="D413" s="81"/>
      <c r="E413" s="81"/>
      <c r="F413" s="81"/>
      <c r="G413" s="82"/>
      <c r="H413" s="77"/>
      <c r="I413" s="94"/>
      <c r="J413" s="28"/>
      <c r="K413" s="29"/>
      <c r="L413" s="28"/>
      <c r="M413" s="28"/>
      <c r="N413" s="28"/>
      <c r="O413" s="28"/>
      <c r="P413" s="28"/>
      <c r="Q413" s="28"/>
      <c r="R413" s="28"/>
      <c r="S413" s="28"/>
      <c r="T413" s="28"/>
    </row>
    <row r="414" s="31" customFormat="1" spans="1:20">
      <c r="A414" s="100"/>
      <c r="B414" s="86"/>
      <c r="C414" s="81"/>
      <c r="D414" s="81"/>
      <c r="E414" s="81"/>
      <c r="F414" s="81"/>
      <c r="G414" s="82"/>
      <c r="H414" s="77"/>
      <c r="I414" s="94"/>
      <c r="J414" s="28"/>
      <c r="K414" s="29"/>
      <c r="L414" s="28"/>
      <c r="M414" s="28"/>
      <c r="N414" s="28"/>
      <c r="O414" s="28"/>
      <c r="P414" s="28"/>
      <c r="Q414" s="28"/>
      <c r="R414" s="28"/>
      <c r="S414" s="28"/>
      <c r="T414" s="28"/>
    </row>
    <row r="415" s="31" customFormat="1" spans="1:20">
      <c r="A415" s="100"/>
      <c r="B415" s="86"/>
      <c r="C415" s="81"/>
      <c r="D415" s="81"/>
      <c r="E415" s="81"/>
      <c r="F415" s="81"/>
      <c r="G415" s="82"/>
      <c r="H415" s="77"/>
      <c r="I415" s="94"/>
      <c r="J415" s="28"/>
      <c r="K415" s="29"/>
      <c r="L415" s="28"/>
      <c r="M415" s="28"/>
      <c r="N415" s="28"/>
      <c r="O415" s="28"/>
      <c r="P415" s="28"/>
      <c r="Q415" s="28"/>
      <c r="R415" s="28"/>
      <c r="S415" s="28"/>
      <c r="T415" s="28"/>
    </row>
    <row r="416" s="31" customFormat="1" spans="1:20">
      <c r="A416" s="100"/>
      <c r="B416" s="86"/>
      <c r="C416" s="81"/>
      <c r="D416" s="81"/>
      <c r="E416" s="81"/>
      <c r="F416" s="81"/>
      <c r="G416" s="82"/>
      <c r="H416" s="77"/>
      <c r="I416" s="94"/>
      <c r="J416" s="28"/>
      <c r="K416" s="29"/>
      <c r="L416" s="28"/>
      <c r="M416" s="28"/>
      <c r="N416" s="28"/>
      <c r="O416" s="28"/>
      <c r="P416" s="28"/>
      <c r="Q416" s="28"/>
      <c r="R416" s="28"/>
      <c r="S416" s="28"/>
      <c r="T416" s="28"/>
    </row>
    <row r="417" s="31" customFormat="1" spans="1:20">
      <c r="A417" s="100"/>
      <c r="B417" s="86"/>
      <c r="C417" s="81"/>
      <c r="D417" s="81"/>
      <c r="E417" s="81"/>
      <c r="F417" s="81"/>
      <c r="G417" s="82"/>
      <c r="H417" s="77"/>
      <c r="I417" s="94"/>
      <c r="J417" s="28"/>
      <c r="K417" s="29"/>
      <c r="L417" s="28"/>
      <c r="M417" s="28"/>
      <c r="N417" s="28"/>
      <c r="O417" s="28"/>
      <c r="P417" s="28"/>
      <c r="Q417" s="28"/>
      <c r="R417" s="28"/>
      <c r="S417" s="28"/>
      <c r="T417" s="28"/>
    </row>
    <row r="418" s="31" customFormat="1" spans="1:20">
      <c r="A418" s="100"/>
      <c r="B418" s="86"/>
      <c r="C418" s="81"/>
      <c r="D418" s="81"/>
      <c r="E418" s="81"/>
      <c r="F418" s="81"/>
      <c r="G418" s="82"/>
      <c r="H418" s="77"/>
      <c r="I418" s="94"/>
      <c r="J418" s="28"/>
      <c r="K418" s="29"/>
      <c r="L418" s="28"/>
      <c r="M418" s="28"/>
      <c r="N418" s="28"/>
      <c r="O418" s="28"/>
      <c r="P418" s="28"/>
      <c r="Q418" s="28"/>
      <c r="R418" s="28"/>
      <c r="S418" s="28"/>
      <c r="T418" s="28"/>
    </row>
    <row r="419" s="31" customFormat="1" spans="1:20">
      <c r="A419" s="100"/>
      <c r="B419" s="86"/>
      <c r="C419" s="81"/>
      <c r="D419" s="81"/>
      <c r="E419" s="81"/>
      <c r="F419" s="81"/>
      <c r="G419" s="82"/>
      <c r="H419" s="77"/>
      <c r="I419" s="94"/>
      <c r="J419" s="28"/>
      <c r="K419" s="29"/>
      <c r="L419" s="28"/>
      <c r="M419" s="28"/>
      <c r="N419" s="28"/>
      <c r="O419" s="28"/>
      <c r="P419" s="28"/>
      <c r="Q419" s="28"/>
      <c r="R419" s="28"/>
      <c r="S419" s="28"/>
      <c r="T419" s="28"/>
    </row>
    <row r="420" s="31" customFormat="1" spans="1:20">
      <c r="A420" s="100"/>
      <c r="B420" s="86"/>
      <c r="C420" s="81"/>
      <c r="D420" s="81"/>
      <c r="E420" s="81"/>
      <c r="F420" s="81"/>
      <c r="G420" s="82"/>
      <c r="H420" s="77"/>
      <c r="I420" s="94"/>
      <c r="J420" s="28"/>
      <c r="K420" s="29"/>
      <c r="L420" s="28"/>
      <c r="M420" s="28"/>
      <c r="N420" s="28"/>
      <c r="O420" s="28"/>
      <c r="P420" s="28"/>
      <c r="Q420" s="28"/>
      <c r="R420" s="28"/>
      <c r="S420" s="28"/>
      <c r="T420" s="28"/>
    </row>
    <row r="421" s="31" customFormat="1" spans="1:20">
      <c r="A421" s="100"/>
      <c r="B421" s="86"/>
      <c r="C421" s="81"/>
      <c r="D421" s="81"/>
      <c r="E421" s="81"/>
      <c r="F421" s="81"/>
      <c r="G421" s="82"/>
      <c r="H421" s="77"/>
      <c r="I421" s="94"/>
      <c r="J421" s="28"/>
      <c r="K421" s="29"/>
      <c r="L421" s="28"/>
      <c r="M421" s="28"/>
      <c r="N421" s="28"/>
      <c r="O421" s="28"/>
      <c r="P421" s="28"/>
      <c r="Q421" s="28"/>
      <c r="R421" s="28"/>
      <c r="S421" s="28"/>
      <c r="T421" s="28"/>
    </row>
    <row r="422" s="31" customFormat="1" spans="1:20">
      <c r="A422" s="100"/>
      <c r="B422" s="86"/>
      <c r="C422" s="81"/>
      <c r="D422" s="81"/>
      <c r="E422" s="81"/>
      <c r="F422" s="81"/>
      <c r="G422" s="82"/>
      <c r="H422" s="77"/>
      <c r="I422" s="94"/>
      <c r="J422" s="28"/>
      <c r="K422" s="29"/>
      <c r="L422" s="28"/>
      <c r="M422" s="28"/>
      <c r="N422" s="28"/>
      <c r="O422" s="28"/>
      <c r="P422" s="28"/>
      <c r="Q422" s="28"/>
      <c r="R422" s="28"/>
      <c r="S422" s="28"/>
      <c r="T422" s="28"/>
    </row>
    <row r="423" s="31" customFormat="1" spans="1:20">
      <c r="A423" s="100"/>
      <c r="B423" s="86"/>
      <c r="C423" s="81"/>
      <c r="D423" s="81"/>
      <c r="E423" s="81"/>
      <c r="F423" s="81"/>
      <c r="G423" s="82"/>
      <c r="H423" s="77"/>
      <c r="I423" s="94"/>
      <c r="J423" s="28"/>
      <c r="K423" s="29"/>
      <c r="L423" s="28"/>
      <c r="M423" s="28"/>
      <c r="N423" s="28"/>
      <c r="O423" s="28"/>
      <c r="P423" s="28"/>
      <c r="Q423" s="28"/>
      <c r="R423" s="28"/>
      <c r="S423" s="28"/>
      <c r="T423" s="28"/>
    </row>
    <row r="424" s="31" customFormat="1" spans="1:20">
      <c r="A424" s="100"/>
      <c r="B424" s="86"/>
      <c r="C424" s="81"/>
      <c r="D424" s="81"/>
      <c r="E424" s="81"/>
      <c r="F424" s="81"/>
      <c r="G424" s="82"/>
      <c r="H424" s="77"/>
      <c r="I424" s="94"/>
      <c r="J424" s="28"/>
      <c r="K424" s="29"/>
      <c r="L424" s="28"/>
      <c r="M424" s="28"/>
      <c r="N424" s="28"/>
      <c r="O424" s="28"/>
      <c r="P424" s="28"/>
      <c r="Q424" s="28"/>
      <c r="R424" s="28"/>
      <c r="S424" s="28"/>
      <c r="T424" s="28"/>
    </row>
    <row r="425" s="31" customFormat="1" ht="18" customHeight="1" spans="1:20">
      <c r="A425" s="100"/>
      <c r="B425" s="86"/>
      <c r="C425" s="81"/>
      <c r="D425" s="81"/>
      <c r="E425" s="81"/>
      <c r="F425" s="81"/>
      <c r="G425" s="82"/>
      <c r="H425" s="77"/>
      <c r="I425" s="94"/>
      <c r="J425" s="28"/>
      <c r="K425" s="29"/>
      <c r="L425" s="28"/>
      <c r="M425" s="28"/>
      <c r="N425" s="28"/>
      <c r="O425" s="28"/>
      <c r="P425" s="28"/>
      <c r="Q425" s="28"/>
      <c r="R425" s="28"/>
      <c r="S425" s="28"/>
      <c r="T425" s="28"/>
    </row>
    <row r="426" s="31" customFormat="1" ht="18" customHeight="1" spans="1:20">
      <c r="A426" s="69">
        <v>150000</v>
      </c>
      <c r="B426" s="83" t="s">
        <v>373</v>
      </c>
      <c r="C426" s="84"/>
      <c r="D426" s="85"/>
      <c r="E426" s="72"/>
      <c r="F426" s="72"/>
      <c r="G426" s="73"/>
      <c r="H426" s="77"/>
      <c r="I426" s="94"/>
      <c r="J426" s="28"/>
      <c r="K426" s="29"/>
      <c r="L426" s="28"/>
      <c r="M426" s="28"/>
      <c r="N426" s="28"/>
      <c r="O426" s="28"/>
      <c r="P426" s="28"/>
      <c r="Q426" s="28"/>
      <c r="R426" s="28"/>
      <c r="S426" s="28"/>
      <c r="T426" s="28"/>
    </row>
    <row r="427" s="31" customFormat="1" ht="18" customHeight="1" spans="1:20">
      <c r="A427" s="69">
        <v>150100</v>
      </c>
      <c r="B427" s="99" t="s">
        <v>374</v>
      </c>
      <c r="C427" s="84"/>
      <c r="D427" s="85"/>
      <c r="E427" s="72"/>
      <c r="F427" s="72"/>
      <c r="G427" s="73"/>
      <c r="H427" s="77"/>
      <c r="I427" s="94"/>
      <c r="J427" s="28"/>
      <c r="K427" s="29"/>
      <c r="L427" s="28"/>
      <c r="M427" s="28"/>
      <c r="N427" s="28"/>
      <c r="O427" s="28"/>
      <c r="P427" s="28"/>
      <c r="Q427" s="28"/>
      <c r="R427" s="28"/>
      <c r="S427" s="28"/>
      <c r="T427" s="28"/>
    </row>
    <row r="428" s="31" customFormat="1" ht="18" customHeight="1" spans="1:20">
      <c r="A428" s="69"/>
      <c r="B428" s="75"/>
      <c r="C428" s="71"/>
      <c r="D428" s="85"/>
      <c r="E428" s="72"/>
      <c r="F428" s="72"/>
      <c r="G428" s="73"/>
      <c r="H428" s="77"/>
      <c r="I428" s="94"/>
      <c r="J428" s="28"/>
      <c r="K428" s="29"/>
      <c r="L428" s="28"/>
      <c r="M428" s="28"/>
      <c r="N428" s="28"/>
      <c r="O428" s="28"/>
      <c r="P428" s="28"/>
      <c r="Q428" s="28"/>
      <c r="R428" s="28"/>
      <c r="S428" s="28"/>
      <c r="T428" s="28"/>
    </row>
    <row r="429" s="31" customFormat="1" ht="47.25" spans="1:20">
      <c r="A429" s="69" t="s">
        <v>375</v>
      </c>
      <c r="B429" s="78" t="s">
        <v>376</v>
      </c>
      <c r="C429" s="71" t="s">
        <v>32</v>
      </c>
      <c r="D429" s="85">
        <f>2.11*1.82*2</f>
        <v>7.6804</v>
      </c>
      <c r="E429" s="72">
        <v>85.27</v>
      </c>
      <c r="F429" s="72">
        <f>IF(E429="","",ROUND(E429+(E429*$D$4),2))</f>
        <v>104.78</v>
      </c>
      <c r="G429" s="73">
        <f>D429*F429</f>
        <v>804.752312</v>
      </c>
      <c r="H429" s="77" t="s">
        <v>377</v>
      </c>
      <c r="I429" s="94" t="s">
        <v>201</v>
      </c>
      <c r="J429" s="28"/>
      <c r="K429" s="29"/>
      <c r="L429" s="28"/>
      <c r="M429" s="28"/>
      <c r="N429" s="28"/>
      <c r="O429" s="28"/>
      <c r="P429" s="28"/>
      <c r="Q429" s="28"/>
      <c r="R429" s="28"/>
      <c r="S429" s="28"/>
      <c r="T429" s="28"/>
    </row>
    <row r="430" s="31" customFormat="1" ht="376.5" customHeight="1" spans="1:20">
      <c r="A430" s="69"/>
      <c r="B430" s="75" t="s">
        <v>378</v>
      </c>
      <c r="C430" s="71"/>
      <c r="D430" s="85"/>
      <c r="E430" s="72"/>
      <c r="F430" s="72"/>
      <c r="G430" s="73"/>
      <c r="H430" s="77"/>
      <c r="I430" s="94"/>
      <c r="J430" s="28"/>
      <c r="K430" s="29"/>
      <c r="L430" s="28"/>
      <c r="M430" s="28"/>
      <c r="N430" s="28"/>
      <c r="O430" s="28"/>
      <c r="P430" s="28"/>
      <c r="Q430" s="28"/>
      <c r="R430" s="28"/>
      <c r="S430" s="28"/>
      <c r="T430" s="28"/>
    </row>
    <row r="431" s="31" customFormat="1" spans="1:20">
      <c r="A431" s="69"/>
      <c r="B431" s="75"/>
      <c r="C431" s="71"/>
      <c r="D431" s="85"/>
      <c r="E431" s="72"/>
      <c r="F431" s="72"/>
      <c r="G431" s="73"/>
      <c r="H431" s="77"/>
      <c r="I431" s="94"/>
      <c r="J431" s="28"/>
      <c r="K431" s="29"/>
      <c r="L431" s="28"/>
      <c r="M431" s="28"/>
      <c r="N431" s="28"/>
      <c r="O431" s="28"/>
      <c r="P431" s="28"/>
      <c r="Q431" s="28"/>
      <c r="R431" s="28"/>
      <c r="S431" s="28"/>
      <c r="T431" s="28"/>
    </row>
    <row r="432" s="31" customFormat="1" spans="1:20">
      <c r="A432" s="69"/>
      <c r="B432" s="75"/>
      <c r="C432" s="71"/>
      <c r="D432" s="85"/>
      <c r="E432" s="72"/>
      <c r="F432" s="72"/>
      <c r="G432" s="73"/>
      <c r="H432" s="77"/>
      <c r="I432" s="94"/>
      <c r="J432" s="28"/>
      <c r="K432" s="29"/>
      <c r="L432" s="28"/>
      <c r="M432" s="28"/>
      <c r="N432" s="28"/>
      <c r="O432" s="28"/>
      <c r="P432" s="28"/>
      <c r="Q432" s="28"/>
      <c r="R432" s="28"/>
      <c r="S432" s="28"/>
      <c r="T432" s="28"/>
    </row>
    <row r="433" s="31" customFormat="1" spans="1:20">
      <c r="A433" s="69"/>
      <c r="B433" s="75"/>
      <c r="C433" s="71"/>
      <c r="D433" s="85"/>
      <c r="E433" s="72"/>
      <c r="F433" s="72"/>
      <c r="G433" s="73"/>
      <c r="H433" s="77"/>
      <c r="I433" s="94"/>
      <c r="J433" s="28"/>
      <c r="K433" s="29"/>
      <c r="L433" s="28"/>
      <c r="M433" s="28"/>
      <c r="N433" s="28"/>
      <c r="O433" s="28"/>
      <c r="P433" s="28"/>
      <c r="Q433" s="28"/>
      <c r="R433" s="28"/>
      <c r="S433" s="28"/>
      <c r="T433" s="28"/>
    </row>
    <row r="434" s="31" customFormat="1" spans="1:20">
      <c r="A434" s="69"/>
      <c r="B434" s="75"/>
      <c r="C434" s="71"/>
      <c r="D434" s="85"/>
      <c r="E434" s="72"/>
      <c r="F434" s="72"/>
      <c r="G434" s="73"/>
      <c r="H434" s="77"/>
      <c r="I434" s="94"/>
      <c r="J434" s="28"/>
      <c r="K434" s="29"/>
      <c r="L434" s="28"/>
      <c r="M434" s="28"/>
      <c r="N434" s="28"/>
      <c r="O434" s="28"/>
      <c r="P434" s="28"/>
      <c r="Q434" s="28"/>
      <c r="R434" s="28"/>
      <c r="S434" s="28"/>
      <c r="T434" s="28"/>
    </row>
    <row r="435" s="31" customFormat="1" spans="1:20">
      <c r="A435" s="69"/>
      <c r="B435" s="75"/>
      <c r="C435" s="71"/>
      <c r="D435" s="85"/>
      <c r="E435" s="72"/>
      <c r="F435" s="72"/>
      <c r="G435" s="73"/>
      <c r="H435" s="77"/>
      <c r="I435" s="94"/>
      <c r="J435" s="28"/>
      <c r="K435" s="29"/>
      <c r="L435" s="28"/>
      <c r="M435" s="28"/>
      <c r="N435" s="28"/>
      <c r="O435" s="28"/>
      <c r="P435" s="28"/>
      <c r="Q435" s="28"/>
      <c r="R435" s="28"/>
      <c r="S435" s="28"/>
      <c r="T435" s="28"/>
    </row>
    <row r="436" s="31" customFormat="1" spans="1:20">
      <c r="A436" s="69"/>
      <c r="B436" s="75"/>
      <c r="C436" s="71"/>
      <c r="D436" s="85"/>
      <c r="E436" s="72"/>
      <c r="F436" s="72"/>
      <c r="G436" s="73"/>
      <c r="H436" s="77"/>
      <c r="I436" s="94"/>
      <c r="J436" s="28"/>
      <c r="K436" s="29"/>
      <c r="L436" s="28"/>
      <c r="M436" s="28"/>
      <c r="N436" s="28"/>
      <c r="O436" s="28"/>
      <c r="P436" s="28"/>
      <c r="Q436" s="28"/>
      <c r="R436" s="28"/>
      <c r="S436" s="28"/>
      <c r="T436" s="28"/>
    </row>
    <row r="437" s="31" customFormat="1" spans="1:20">
      <c r="A437" s="69"/>
      <c r="B437" s="75"/>
      <c r="C437" s="71"/>
      <c r="D437" s="85"/>
      <c r="E437" s="72"/>
      <c r="F437" s="72"/>
      <c r="G437" s="73"/>
      <c r="H437" s="77"/>
      <c r="I437" s="94"/>
      <c r="J437" s="28"/>
      <c r="K437" s="29"/>
      <c r="L437" s="28"/>
      <c r="M437" s="28"/>
      <c r="N437" s="28"/>
      <c r="O437" s="28"/>
      <c r="P437" s="28"/>
      <c r="Q437" s="28"/>
      <c r="R437" s="28"/>
      <c r="S437" s="28"/>
      <c r="T437" s="28"/>
    </row>
    <row r="438" s="31" customFormat="1" spans="1:20">
      <c r="A438" s="69"/>
      <c r="B438" s="75"/>
      <c r="C438" s="71"/>
      <c r="D438" s="85"/>
      <c r="E438" s="72"/>
      <c r="F438" s="72"/>
      <c r="G438" s="73"/>
      <c r="H438" s="77"/>
      <c r="I438" s="94"/>
      <c r="J438" s="28"/>
      <c r="K438" s="29"/>
      <c r="L438" s="28"/>
      <c r="M438" s="28"/>
      <c r="N438" s="28"/>
      <c r="O438" s="28"/>
      <c r="P438" s="28"/>
      <c r="Q438" s="28"/>
      <c r="R438" s="28"/>
      <c r="S438" s="28"/>
      <c r="T438" s="28"/>
    </row>
    <row r="439" s="31" customFormat="1" spans="1:20">
      <c r="A439" s="69"/>
      <c r="B439" s="75"/>
      <c r="C439" s="71"/>
      <c r="D439" s="85"/>
      <c r="E439" s="72"/>
      <c r="F439" s="72"/>
      <c r="G439" s="73"/>
      <c r="H439" s="77"/>
      <c r="I439" s="94"/>
      <c r="J439" s="28"/>
      <c r="K439" s="29"/>
      <c r="L439" s="28"/>
      <c r="M439" s="28"/>
      <c r="N439" s="28"/>
      <c r="O439" s="28"/>
      <c r="P439" s="28"/>
      <c r="Q439" s="28"/>
      <c r="R439" s="28"/>
      <c r="S439" s="28"/>
      <c r="T439" s="28"/>
    </row>
    <row r="440" s="31" customFormat="1" spans="1:20">
      <c r="A440" s="69"/>
      <c r="B440" s="70"/>
      <c r="C440" s="84"/>
      <c r="D440" s="85"/>
      <c r="E440" s="72"/>
      <c r="F440" s="72"/>
      <c r="G440" s="73"/>
      <c r="H440" s="77"/>
      <c r="I440" s="94"/>
      <c r="J440" s="28"/>
      <c r="K440" s="29"/>
      <c r="L440" s="28"/>
      <c r="M440" s="28"/>
      <c r="N440" s="28"/>
      <c r="O440" s="28"/>
      <c r="P440" s="28"/>
      <c r="Q440" s="28"/>
      <c r="R440" s="28"/>
      <c r="S440" s="28"/>
      <c r="T440" s="28"/>
    </row>
    <row r="441" s="31" customFormat="1" ht="95.25" customHeight="1" spans="1:20">
      <c r="A441" s="69" t="s">
        <v>379</v>
      </c>
      <c r="B441" s="70" t="s">
        <v>380</v>
      </c>
      <c r="C441" s="84" t="s">
        <v>21</v>
      </c>
      <c r="D441" s="85">
        <f>31*2*0.4+21*2*0.4+1.5*8*0.4+1.24*0.4+2.5*0.4+0.6*0.4*2+1.36*0.4</f>
        <v>48.92</v>
      </c>
      <c r="E441" s="72">
        <v>115.84</v>
      </c>
      <c r="F441" s="72">
        <f>IF(E441="","",ROUND(E441+(E441*$D$4),2))</f>
        <v>142.34</v>
      </c>
      <c r="G441" s="73">
        <f>D441*F441</f>
        <v>6963.2728</v>
      </c>
      <c r="H441" s="71" t="s">
        <v>381</v>
      </c>
      <c r="I441" s="94" t="s">
        <v>382</v>
      </c>
      <c r="J441" s="28"/>
      <c r="K441" s="29"/>
      <c r="L441" s="28"/>
      <c r="M441" s="28"/>
      <c r="N441" s="28"/>
      <c r="O441" s="28"/>
      <c r="P441" s="28"/>
      <c r="Q441" s="28"/>
      <c r="R441" s="28"/>
      <c r="S441" s="28"/>
      <c r="T441" s="28"/>
    </row>
    <row r="442" s="31" customFormat="1" ht="126" spans="1:20">
      <c r="A442" s="69"/>
      <c r="B442" s="75" t="s">
        <v>383</v>
      </c>
      <c r="C442" s="84"/>
      <c r="D442" s="85"/>
      <c r="E442" s="72"/>
      <c r="F442" s="72"/>
      <c r="G442" s="73"/>
      <c r="H442" s="77"/>
      <c r="I442" s="94"/>
      <c r="J442" s="28"/>
      <c r="K442" s="29"/>
      <c r="L442" s="28"/>
      <c r="M442" s="28"/>
      <c r="N442" s="28"/>
      <c r="O442" s="28"/>
      <c r="P442" s="28"/>
      <c r="Q442" s="28"/>
      <c r="R442" s="28"/>
      <c r="S442" s="28"/>
      <c r="T442" s="28"/>
    </row>
    <row r="443" s="31" customFormat="1" spans="1:20">
      <c r="A443" s="69"/>
      <c r="B443" s="75"/>
      <c r="C443" s="84"/>
      <c r="D443" s="85"/>
      <c r="E443" s="72"/>
      <c r="F443" s="72"/>
      <c r="G443" s="73"/>
      <c r="H443" s="77"/>
      <c r="I443" s="94"/>
      <c r="J443" s="28"/>
      <c r="K443" s="29"/>
      <c r="L443" s="28"/>
      <c r="M443" s="28"/>
      <c r="N443" s="28"/>
      <c r="O443" s="28"/>
      <c r="P443" s="28"/>
      <c r="Q443" s="28"/>
      <c r="R443" s="28"/>
      <c r="S443" s="28"/>
      <c r="T443" s="28"/>
    </row>
    <row r="444" s="31" customFormat="1" spans="1:20">
      <c r="A444" s="69" t="s">
        <v>384</v>
      </c>
      <c r="B444" s="99" t="s">
        <v>385</v>
      </c>
      <c r="C444" s="71"/>
      <c r="D444" s="85"/>
      <c r="E444" s="72"/>
      <c r="F444" s="72"/>
      <c r="G444" s="73"/>
      <c r="H444" s="77"/>
      <c r="I444" s="94"/>
      <c r="J444" s="28"/>
      <c r="K444" s="29"/>
      <c r="L444" s="28"/>
      <c r="M444" s="28"/>
      <c r="N444" s="28"/>
      <c r="O444" s="28"/>
      <c r="P444" s="28"/>
      <c r="Q444" s="28"/>
      <c r="R444" s="28"/>
      <c r="S444" s="28"/>
      <c r="T444" s="28"/>
    </row>
    <row r="445" s="31" customFormat="1" ht="31.5" spans="1:20">
      <c r="A445" s="69" t="s">
        <v>386</v>
      </c>
      <c r="B445" s="70" t="s">
        <v>93</v>
      </c>
      <c r="C445" s="71" t="s">
        <v>32</v>
      </c>
      <c r="D445" s="85">
        <f>1.82*2.11*2+0.64*0.36*2</f>
        <v>8.1412</v>
      </c>
      <c r="E445" s="72">
        <v>51.68</v>
      </c>
      <c r="F445" s="72">
        <f>IF(E445="","",ROUND(E445+(E445*$D$4),2))</f>
        <v>63.5</v>
      </c>
      <c r="G445" s="73">
        <f>D445*F445</f>
        <v>516.9662</v>
      </c>
      <c r="H445" s="77" t="s">
        <v>387</v>
      </c>
      <c r="I445" s="94" t="s">
        <v>388</v>
      </c>
      <c r="J445" s="28"/>
      <c r="K445" s="29"/>
      <c r="L445" s="28"/>
      <c r="M445" s="28"/>
      <c r="N445" s="28"/>
      <c r="O445" s="28"/>
      <c r="P445" s="28"/>
      <c r="Q445" s="28"/>
      <c r="R445" s="28"/>
      <c r="S445" s="28"/>
      <c r="T445" s="28"/>
    </row>
    <row r="446" s="31" customFormat="1" ht="47.25" spans="1:20">
      <c r="A446" s="69"/>
      <c r="B446" s="75" t="s">
        <v>389</v>
      </c>
      <c r="C446" s="71"/>
      <c r="D446" s="85"/>
      <c r="E446" s="72"/>
      <c r="F446" s="72"/>
      <c r="G446" s="73"/>
      <c r="H446" s="77"/>
      <c r="I446" s="94"/>
      <c r="J446" s="28"/>
      <c r="K446" s="29"/>
      <c r="L446" s="28"/>
      <c r="M446" s="28"/>
      <c r="N446" s="28"/>
      <c r="O446" s="28"/>
      <c r="P446" s="28"/>
      <c r="Q446" s="28"/>
      <c r="R446" s="28"/>
      <c r="S446" s="28"/>
      <c r="T446" s="28"/>
    </row>
    <row r="447" s="31" customFormat="1" spans="1:20">
      <c r="A447" s="69"/>
      <c r="B447" s="75"/>
      <c r="C447" s="71"/>
      <c r="D447" s="85"/>
      <c r="E447" s="72"/>
      <c r="F447" s="72"/>
      <c r="G447" s="73"/>
      <c r="H447" s="77"/>
      <c r="I447" s="94"/>
      <c r="J447" s="28"/>
      <c r="K447" s="29"/>
      <c r="L447" s="28"/>
      <c r="M447" s="28"/>
      <c r="N447" s="28"/>
      <c r="O447" s="28"/>
      <c r="P447" s="28"/>
      <c r="Q447" s="28"/>
      <c r="R447" s="28"/>
      <c r="S447" s="28"/>
      <c r="T447" s="28"/>
    </row>
    <row r="448" s="31" customFormat="1" ht="63" spans="1:20">
      <c r="A448" s="69" t="s">
        <v>390</v>
      </c>
      <c r="B448" s="70" t="s">
        <v>391</v>
      </c>
      <c r="C448" s="71" t="s">
        <v>32</v>
      </c>
      <c r="D448" s="85">
        <f>31*2*1.5+18*1.5*2+1.2*15.8+9*1.78+(28-1.82)*2.3-15.8*1.1+2.04*16+(2.35+1.36+1.36+3.89)*1.36</f>
        <v>269.6396</v>
      </c>
      <c r="E448" s="72">
        <v>64.12</v>
      </c>
      <c r="F448" s="72">
        <f>IF(E448="","",ROUND(E448+(E448*$D$4),2))</f>
        <v>78.79</v>
      </c>
      <c r="G448" s="73">
        <f>D448*F448</f>
        <v>21244.904084</v>
      </c>
      <c r="H448" s="77" t="s">
        <v>392</v>
      </c>
      <c r="I448" s="94" t="s">
        <v>393</v>
      </c>
      <c r="J448" s="28"/>
      <c r="K448" s="29"/>
      <c r="L448" s="28"/>
      <c r="M448" s="28"/>
      <c r="N448" s="28"/>
      <c r="O448" s="28"/>
      <c r="P448" s="28"/>
      <c r="Q448" s="28"/>
      <c r="R448" s="28"/>
      <c r="S448" s="28"/>
      <c r="T448" s="28"/>
    </row>
    <row r="449" s="31" customFormat="1" ht="78.75" spans="1:20">
      <c r="A449" s="69"/>
      <c r="B449" s="75" t="s">
        <v>394</v>
      </c>
      <c r="C449" s="71"/>
      <c r="D449" s="85"/>
      <c r="E449" s="72"/>
      <c r="F449" s="72"/>
      <c r="G449" s="73"/>
      <c r="H449" s="77"/>
      <c r="I449" s="94"/>
      <c r="J449" s="28"/>
      <c r="K449" s="29"/>
      <c r="L449" s="28"/>
      <c r="M449" s="28"/>
      <c r="N449" s="28"/>
      <c r="O449" s="28"/>
      <c r="P449" s="28"/>
      <c r="Q449" s="28"/>
      <c r="R449" s="28"/>
      <c r="S449" s="28"/>
      <c r="T449" s="28"/>
    </row>
    <row r="450" s="31" customFormat="1" spans="1:20">
      <c r="A450" s="69"/>
      <c r="B450" s="75"/>
      <c r="C450" s="71"/>
      <c r="D450" s="85"/>
      <c r="E450" s="72"/>
      <c r="F450" s="72"/>
      <c r="G450" s="73"/>
      <c r="H450" s="77"/>
      <c r="I450" s="94"/>
      <c r="J450" s="28"/>
      <c r="K450" s="29"/>
      <c r="L450" s="28"/>
      <c r="M450" s="28"/>
      <c r="N450" s="28"/>
      <c r="O450" s="28"/>
      <c r="P450" s="28"/>
      <c r="Q450" s="28"/>
      <c r="R450" s="28"/>
      <c r="S450" s="28"/>
      <c r="T450" s="28"/>
    </row>
    <row r="451" s="31" customFormat="1" spans="1:20">
      <c r="A451" s="100"/>
      <c r="B451" s="86"/>
      <c r="C451" s="81" t="s">
        <v>41</v>
      </c>
      <c r="D451" s="81"/>
      <c r="E451" s="81"/>
      <c r="F451" s="81"/>
      <c r="G451" s="82">
        <f>SUM(G426:G450)</f>
        <v>29529.895396</v>
      </c>
      <c r="H451" s="77"/>
      <c r="I451" s="94"/>
      <c r="J451" s="28"/>
      <c r="K451" s="29"/>
      <c r="L451" s="28"/>
      <c r="M451" s="28"/>
      <c r="N451" s="28"/>
      <c r="O451" s="28"/>
      <c r="P451" s="28"/>
      <c r="Q451" s="28"/>
      <c r="R451" s="28"/>
      <c r="S451" s="28"/>
      <c r="T451" s="28"/>
    </row>
    <row r="452" s="31" customFormat="1" spans="1:20">
      <c r="A452" s="100"/>
      <c r="B452" s="86"/>
      <c r="C452" s="81"/>
      <c r="D452" s="81"/>
      <c r="E452" s="81"/>
      <c r="F452" s="81"/>
      <c r="G452" s="82"/>
      <c r="H452" s="77"/>
      <c r="I452" s="94"/>
      <c r="J452" s="28"/>
      <c r="K452" s="29"/>
      <c r="L452" s="28"/>
      <c r="M452" s="28"/>
      <c r="N452" s="28"/>
      <c r="O452" s="28"/>
      <c r="P452" s="28"/>
      <c r="Q452" s="28"/>
      <c r="R452" s="28"/>
      <c r="S452" s="28"/>
      <c r="T452" s="28"/>
    </row>
    <row r="453" s="31" customFormat="1" spans="1:20">
      <c r="A453" s="100"/>
      <c r="B453" s="86"/>
      <c r="C453" s="81"/>
      <c r="D453" s="81"/>
      <c r="E453" s="81"/>
      <c r="F453" s="81"/>
      <c r="G453" s="82"/>
      <c r="H453" s="77"/>
      <c r="I453" s="94"/>
      <c r="J453" s="28"/>
      <c r="K453" s="29"/>
      <c r="L453" s="28"/>
      <c r="M453" s="28"/>
      <c r="N453" s="28"/>
      <c r="O453" s="28"/>
      <c r="P453" s="28"/>
      <c r="Q453" s="28"/>
      <c r="R453" s="28"/>
      <c r="S453" s="28"/>
      <c r="T453" s="28"/>
    </row>
    <row r="454" s="31" customFormat="1" spans="1:20">
      <c r="A454" s="100"/>
      <c r="B454" s="86"/>
      <c r="C454" s="81"/>
      <c r="D454" s="81"/>
      <c r="E454" s="81"/>
      <c r="F454" s="81"/>
      <c r="G454" s="82"/>
      <c r="H454" s="77"/>
      <c r="I454" s="94"/>
      <c r="J454" s="28"/>
      <c r="K454" s="29"/>
      <c r="L454" s="28"/>
      <c r="M454" s="28"/>
      <c r="N454" s="28"/>
      <c r="O454" s="28"/>
      <c r="P454" s="28"/>
      <c r="Q454" s="28"/>
      <c r="R454" s="28"/>
      <c r="S454" s="28"/>
      <c r="T454" s="28"/>
    </row>
    <row r="455" s="31" customFormat="1" spans="1:20">
      <c r="A455" s="100"/>
      <c r="B455" s="86"/>
      <c r="C455" s="81"/>
      <c r="D455" s="81"/>
      <c r="E455" s="81"/>
      <c r="F455" s="81"/>
      <c r="G455" s="82"/>
      <c r="H455" s="77"/>
      <c r="I455" s="94"/>
      <c r="J455" s="28"/>
      <c r="K455" s="29"/>
      <c r="L455" s="28"/>
      <c r="M455" s="28"/>
      <c r="N455" s="28"/>
      <c r="O455" s="28"/>
      <c r="P455" s="28"/>
      <c r="Q455" s="28"/>
      <c r="R455" s="28"/>
      <c r="S455" s="28"/>
      <c r="T455" s="28"/>
    </row>
    <row r="456" s="31" customFormat="1" spans="1:20">
      <c r="A456" s="100"/>
      <c r="B456" s="86"/>
      <c r="C456" s="81"/>
      <c r="D456" s="81"/>
      <c r="E456" s="81"/>
      <c r="F456" s="81"/>
      <c r="G456" s="82"/>
      <c r="H456" s="77"/>
      <c r="I456" s="94"/>
      <c r="J456" s="28"/>
      <c r="K456" s="29"/>
      <c r="L456" s="28"/>
      <c r="M456" s="28"/>
      <c r="N456" s="28"/>
      <c r="O456" s="28"/>
      <c r="P456" s="28"/>
      <c r="Q456" s="28"/>
      <c r="R456" s="28"/>
      <c r="S456" s="28"/>
      <c r="T456" s="28"/>
    </row>
    <row r="457" s="31" customFormat="1" spans="1:20">
      <c r="A457" s="100"/>
      <c r="B457" s="86"/>
      <c r="C457" s="81"/>
      <c r="D457" s="81"/>
      <c r="E457" s="81"/>
      <c r="F457" s="81"/>
      <c r="G457" s="82"/>
      <c r="H457" s="77"/>
      <c r="I457" s="94"/>
      <c r="J457" s="28"/>
      <c r="K457" s="29"/>
      <c r="L457" s="28"/>
      <c r="M457" s="28"/>
      <c r="N457" s="28"/>
      <c r="O457" s="28"/>
      <c r="P457" s="28"/>
      <c r="Q457" s="28"/>
      <c r="R457" s="28"/>
      <c r="S457" s="28"/>
      <c r="T457" s="28"/>
    </row>
    <row r="458" s="31" customFormat="1" spans="1:20">
      <c r="A458" s="122">
        <v>170000</v>
      </c>
      <c r="B458" s="83" t="s">
        <v>395</v>
      </c>
      <c r="C458" s="77"/>
      <c r="D458" s="85"/>
      <c r="E458" s="87"/>
      <c r="F458" s="87"/>
      <c r="G458" s="73"/>
      <c r="H458" s="77"/>
      <c r="I458" s="94"/>
      <c r="J458" s="28"/>
      <c r="K458" s="29"/>
      <c r="L458" s="28"/>
      <c r="M458" s="28"/>
      <c r="N458" s="28"/>
      <c r="O458" s="28"/>
      <c r="P458" s="28"/>
      <c r="Q458" s="28"/>
      <c r="R458" s="28"/>
      <c r="S458" s="28"/>
      <c r="T458" s="28"/>
    </row>
    <row r="459" s="31" customFormat="1" spans="1:20">
      <c r="A459" s="122">
        <v>170100</v>
      </c>
      <c r="B459" s="99" t="s">
        <v>396</v>
      </c>
      <c r="C459" s="84"/>
      <c r="D459" s="85"/>
      <c r="E459" s="72"/>
      <c r="F459" s="72"/>
      <c r="G459" s="73"/>
      <c r="H459" s="77"/>
      <c r="I459" s="94"/>
      <c r="J459" s="28"/>
      <c r="K459" s="29"/>
      <c r="L459" s="28"/>
      <c r="M459" s="28"/>
      <c r="N459" s="28"/>
      <c r="O459" s="28"/>
      <c r="P459" s="28"/>
      <c r="Q459" s="28"/>
      <c r="R459" s="28"/>
      <c r="S459" s="28"/>
      <c r="T459" s="28"/>
    </row>
    <row r="460" s="31" customFormat="1" ht="18" customHeight="1" spans="1:20">
      <c r="A460" s="122"/>
      <c r="B460" s="70"/>
      <c r="C460" s="71"/>
      <c r="D460" s="85"/>
      <c r="E460" s="72"/>
      <c r="F460" s="72"/>
      <c r="G460" s="73"/>
      <c r="H460" s="77"/>
      <c r="I460" s="94"/>
      <c r="J460" s="28"/>
      <c r="K460" s="29"/>
      <c r="L460" s="28"/>
      <c r="M460" s="28"/>
      <c r="N460" s="28"/>
      <c r="O460" s="28"/>
      <c r="P460" s="28"/>
      <c r="Q460" s="28"/>
      <c r="R460" s="28"/>
      <c r="S460" s="28"/>
      <c r="T460" s="28"/>
    </row>
    <row r="461" s="31" customFormat="1" ht="22.5" spans="1:20">
      <c r="A461" s="122">
        <v>170103</v>
      </c>
      <c r="B461" s="70" t="s">
        <v>397</v>
      </c>
      <c r="C461" s="71" t="s">
        <v>32</v>
      </c>
      <c r="D461" s="85">
        <f>1.82*2.11*2+3.74*2.58</f>
        <v>17.3296</v>
      </c>
      <c r="E461" s="72">
        <v>19.74</v>
      </c>
      <c r="F461" s="72">
        <f>IF(E461="","",ROUND(E461+(E461*$D$4),2))</f>
        <v>24.26</v>
      </c>
      <c r="G461" s="73">
        <f>D461*F461</f>
        <v>420.416096</v>
      </c>
      <c r="H461" s="71" t="s">
        <v>398</v>
      </c>
      <c r="I461" s="94" t="s">
        <v>399</v>
      </c>
      <c r="J461" s="28"/>
      <c r="K461" s="29"/>
      <c r="L461" s="28"/>
      <c r="M461" s="28"/>
      <c r="N461" s="28"/>
      <c r="O461" s="28"/>
      <c r="P461" s="28"/>
      <c r="Q461" s="28"/>
      <c r="R461" s="28"/>
      <c r="S461" s="28"/>
      <c r="T461" s="28"/>
    </row>
    <row r="462" s="31" customFormat="1" ht="148.5" customHeight="1" spans="1:20">
      <c r="A462" s="122"/>
      <c r="B462" s="75" t="s">
        <v>400</v>
      </c>
      <c r="C462" s="71"/>
      <c r="D462" s="85"/>
      <c r="E462" s="72"/>
      <c r="F462" s="72"/>
      <c r="G462" s="73"/>
      <c r="H462" s="77"/>
      <c r="I462" s="94"/>
      <c r="J462" s="28"/>
      <c r="K462" s="29"/>
      <c r="L462" s="28"/>
      <c r="M462" s="28"/>
      <c r="N462" s="28"/>
      <c r="O462" s="28"/>
      <c r="P462" s="28"/>
      <c r="Q462" s="28"/>
      <c r="R462" s="28"/>
      <c r="S462" s="28"/>
      <c r="T462" s="28"/>
    </row>
    <row r="463" s="31" customFormat="1" ht="172.5" customHeight="1" spans="1:20">
      <c r="A463" s="122">
        <v>170203</v>
      </c>
      <c r="B463" s="70" t="s">
        <v>401</v>
      </c>
      <c r="C463" s="71" t="s">
        <v>21</v>
      </c>
      <c r="D463" s="85">
        <f>(28-4.7-1.6)*1.5*4+18*3+18*1.5*2+21.62*4*0.5+(3.75+1.66)*0.5*2+2.58*3+2.58*2.5*2+4.5*4*3+3.74*2.35*2+1.24*2.5+8.24*0.52+4.7*2*3+4.78*3*3+1.82*4+4.78*1.82+3.74*2.58-1.6*1.5+4.78*1+2.02*1-(1.82*3*2+2.11*3*2)*2-D461</f>
        <v>423.212</v>
      </c>
      <c r="E463" s="72">
        <v>26.4</v>
      </c>
      <c r="F463" s="72">
        <f>IF(E463="","",ROUND(E463+(E463*$D$4),2))</f>
        <v>32.44</v>
      </c>
      <c r="G463" s="73">
        <f>D463*F463</f>
        <v>13728.99728</v>
      </c>
      <c r="H463" s="77" t="s">
        <v>402</v>
      </c>
      <c r="I463" s="94" t="s">
        <v>126</v>
      </c>
      <c r="J463" s="28"/>
      <c r="K463" s="29"/>
      <c r="L463" s="28"/>
      <c r="M463" s="28"/>
      <c r="N463" s="28"/>
      <c r="O463" s="28"/>
      <c r="P463" s="28"/>
      <c r="Q463" s="28"/>
      <c r="R463" s="28"/>
      <c r="S463" s="28"/>
      <c r="T463" s="28"/>
    </row>
    <row r="464" s="31" customFormat="1" ht="110.25" spans="1:20">
      <c r="A464" s="122"/>
      <c r="B464" s="75" t="s">
        <v>403</v>
      </c>
      <c r="C464" s="71"/>
      <c r="D464" s="85"/>
      <c r="E464" s="72"/>
      <c r="F464" s="72"/>
      <c r="G464" s="73"/>
      <c r="H464" s="77"/>
      <c r="I464" s="94"/>
      <c r="J464" s="28"/>
      <c r="K464" s="29"/>
      <c r="L464" s="28"/>
      <c r="M464" s="28"/>
      <c r="N464" s="28"/>
      <c r="O464" s="28"/>
      <c r="P464" s="28"/>
      <c r="Q464" s="28"/>
      <c r="R464" s="28"/>
      <c r="S464" s="28"/>
      <c r="T464" s="28"/>
    </row>
    <row r="465" s="31" customFormat="1" spans="1:20">
      <c r="A465" s="122"/>
      <c r="B465" s="70"/>
      <c r="C465" s="71"/>
      <c r="D465" s="85"/>
      <c r="E465" s="72"/>
      <c r="F465" s="72"/>
      <c r="G465" s="73"/>
      <c r="H465" s="77"/>
      <c r="I465" s="94"/>
      <c r="J465" s="28"/>
      <c r="K465" s="29"/>
      <c r="L465" s="28"/>
      <c r="M465" s="28"/>
      <c r="N465" s="28"/>
      <c r="O465" s="28"/>
      <c r="P465" s="28"/>
      <c r="Q465" s="28"/>
      <c r="R465" s="28"/>
      <c r="S465" s="28"/>
      <c r="T465" s="28"/>
    </row>
    <row r="466" s="31" customFormat="1" spans="1:20">
      <c r="A466" s="122"/>
      <c r="B466" s="123"/>
      <c r="C466" s="81" t="s">
        <v>41</v>
      </c>
      <c r="D466" s="81"/>
      <c r="E466" s="81"/>
      <c r="F466" s="81"/>
      <c r="G466" s="82">
        <f>SUM(G460:G465)</f>
        <v>14149.413376</v>
      </c>
      <c r="H466" s="77"/>
      <c r="I466" s="94"/>
      <c r="J466" s="28"/>
      <c r="K466" s="29"/>
      <c r="L466" s="28"/>
      <c r="M466" s="28"/>
      <c r="N466" s="28"/>
      <c r="O466" s="28"/>
      <c r="P466" s="28"/>
      <c r="Q466" s="28"/>
      <c r="R466" s="28"/>
      <c r="S466" s="28"/>
      <c r="T466" s="28"/>
    </row>
    <row r="467" s="31" customFormat="1" spans="1:20">
      <c r="A467" s="122"/>
      <c r="B467" s="123"/>
      <c r="C467" s="81"/>
      <c r="D467" s="81"/>
      <c r="E467" s="81"/>
      <c r="F467" s="81"/>
      <c r="G467" s="82"/>
      <c r="H467" s="77"/>
      <c r="I467" s="94"/>
      <c r="J467" s="28"/>
      <c r="K467" s="29"/>
      <c r="L467" s="28"/>
      <c r="M467" s="28"/>
      <c r="N467" s="28"/>
      <c r="O467" s="28"/>
      <c r="P467" s="28"/>
      <c r="Q467" s="28"/>
      <c r="R467" s="28"/>
      <c r="S467" s="28"/>
      <c r="T467" s="28"/>
    </row>
    <row r="468" s="31" customFormat="1" spans="1:20">
      <c r="A468" s="122"/>
      <c r="B468" s="123"/>
      <c r="C468" s="81"/>
      <c r="D468" s="81"/>
      <c r="E468" s="81"/>
      <c r="F468" s="81"/>
      <c r="G468" s="82"/>
      <c r="H468" s="77"/>
      <c r="I468" s="94"/>
      <c r="J468" s="28"/>
      <c r="K468" s="29"/>
      <c r="L468" s="28"/>
      <c r="M468" s="28"/>
      <c r="N468" s="28"/>
      <c r="O468" s="28"/>
      <c r="P468" s="28"/>
      <c r="Q468" s="28"/>
      <c r="R468" s="28"/>
      <c r="S468" s="28"/>
      <c r="T468" s="28"/>
    </row>
    <row r="469" s="31" customFormat="1" spans="1:20">
      <c r="A469" s="122"/>
      <c r="B469" s="123"/>
      <c r="C469" s="81"/>
      <c r="D469" s="81"/>
      <c r="E469" s="81"/>
      <c r="F469" s="81"/>
      <c r="G469" s="82"/>
      <c r="H469" s="77"/>
      <c r="I469" s="94"/>
      <c r="J469" s="28"/>
      <c r="K469" s="29"/>
      <c r="L469" s="28"/>
      <c r="M469" s="28"/>
      <c r="N469" s="28"/>
      <c r="O469" s="28"/>
      <c r="P469" s="28"/>
      <c r="Q469" s="28"/>
      <c r="R469" s="28"/>
      <c r="S469" s="28"/>
      <c r="T469" s="28"/>
    </row>
    <row r="470" s="31" customFormat="1" spans="1:20">
      <c r="A470" s="122"/>
      <c r="B470" s="123"/>
      <c r="C470" s="81"/>
      <c r="D470" s="81"/>
      <c r="E470" s="81"/>
      <c r="F470" s="81"/>
      <c r="G470" s="82"/>
      <c r="H470" s="77"/>
      <c r="I470" s="94"/>
      <c r="J470" s="28"/>
      <c r="K470" s="29"/>
      <c r="L470" s="28"/>
      <c r="M470" s="28"/>
      <c r="N470" s="28"/>
      <c r="O470" s="28"/>
      <c r="P470" s="28"/>
      <c r="Q470" s="28"/>
      <c r="R470" s="28"/>
      <c r="S470" s="28"/>
      <c r="T470" s="28"/>
    </row>
    <row r="471" s="31" customFormat="1" spans="1:20">
      <c r="A471" s="122"/>
      <c r="B471" s="123"/>
      <c r="C471" s="81"/>
      <c r="D471" s="81"/>
      <c r="E471" s="81"/>
      <c r="F471" s="81"/>
      <c r="G471" s="82"/>
      <c r="H471" s="77"/>
      <c r="I471" s="94"/>
      <c r="J471" s="28"/>
      <c r="K471" s="29"/>
      <c r="L471" s="28"/>
      <c r="M471" s="28"/>
      <c r="N471" s="28"/>
      <c r="O471" s="28"/>
      <c r="P471" s="28"/>
      <c r="Q471" s="28"/>
      <c r="R471" s="28"/>
      <c r="S471" s="28"/>
      <c r="T471" s="28"/>
    </row>
    <row r="472" s="31" customFormat="1" spans="1:20">
      <c r="A472" s="122"/>
      <c r="B472" s="123"/>
      <c r="C472" s="81"/>
      <c r="D472" s="81"/>
      <c r="E472" s="81"/>
      <c r="F472" s="81"/>
      <c r="G472" s="82"/>
      <c r="H472" s="77"/>
      <c r="I472" s="94"/>
      <c r="J472" s="28"/>
      <c r="K472" s="29"/>
      <c r="L472" s="28"/>
      <c r="M472" s="28"/>
      <c r="N472" s="28"/>
      <c r="O472" s="28"/>
      <c r="P472" s="28"/>
      <c r="Q472" s="28"/>
      <c r="R472" s="28"/>
      <c r="S472" s="28"/>
      <c r="T472" s="28"/>
    </row>
    <row r="473" s="31" customFormat="1" spans="1:20">
      <c r="A473" s="69">
        <v>180000</v>
      </c>
      <c r="B473" s="83" t="s">
        <v>404</v>
      </c>
      <c r="C473" s="81"/>
      <c r="D473" s="85"/>
      <c r="E473" s="87"/>
      <c r="F473" s="87"/>
      <c r="G473" s="73"/>
      <c r="H473" s="77"/>
      <c r="I473" s="94"/>
      <c r="J473" s="28"/>
      <c r="K473" s="29"/>
      <c r="L473" s="28"/>
      <c r="M473" s="28"/>
      <c r="N473" s="28"/>
      <c r="O473" s="28"/>
      <c r="P473" s="28"/>
      <c r="Q473" s="28"/>
      <c r="R473" s="28"/>
      <c r="S473" s="28"/>
      <c r="T473" s="28"/>
    </row>
    <row r="474" s="31" customFormat="1" spans="1:20">
      <c r="A474" s="69">
        <v>180100</v>
      </c>
      <c r="B474" s="99" t="s">
        <v>405</v>
      </c>
      <c r="C474" s="84"/>
      <c r="D474" s="85"/>
      <c r="E474" s="72"/>
      <c r="F474" s="72"/>
      <c r="G474" s="73"/>
      <c r="H474" s="77"/>
      <c r="I474" s="94"/>
      <c r="J474" s="28"/>
      <c r="K474" s="29"/>
      <c r="L474" s="28"/>
      <c r="M474" s="28"/>
      <c r="N474" s="28"/>
      <c r="O474" s="28"/>
      <c r="P474" s="28"/>
      <c r="Q474" s="28"/>
      <c r="R474" s="28"/>
      <c r="S474" s="28"/>
      <c r="T474" s="28"/>
    </row>
    <row r="475" s="31" customFormat="1" ht="18" customHeight="1" spans="1:20">
      <c r="A475" s="69"/>
      <c r="B475" s="70"/>
      <c r="C475" s="71"/>
      <c r="D475" s="85"/>
      <c r="E475" s="72"/>
      <c r="F475" s="72"/>
      <c r="G475" s="73"/>
      <c r="H475" s="77"/>
      <c r="I475" s="94"/>
      <c r="J475" s="28"/>
      <c r="K475" s="29"/>
      <c r="L475" s="28"/>
      <c r="M475" s="28"/>
      <c r="N475" s="28"/>
      <c r="O475" s="28"/>
      <c r="P475" s="28"/>
      <c r="Q475" s="28"/>
      <c r="R475" s="28"/>
      <c r="S475" s="28"/>
      <c r="T475" s="28"/>
    </row>
    <row r="476" s="31" customFormat="1" ht="31.5" customHeight="1" spans="1:20">
      <c r="A476" s="69" t="s">
        <v>406</v>
      </c>
      <c r="B476" s="70" t="s">
        <v>407</v>
      </c>
      <c r="C476" s="71" t="s">
        <v>21</v>
      </c>
      <c r="D476" s="85">
        <f>1*0.2*2</f>
        <v>0.4</v>
      </c>
      <c r="E476" s="72">
        <v>272.35</v>
      </c>
      <c r="F476" s="72">
        <f>IF(E476="","",ROUND(E476+(E476*$D$4),2))</f>
        <v>334.66</v>
      </c>
      <c r="G476" s="73">
        <f>D476*F476</f>
        <v>133.864</v>
      </c>
      <c r="H476" s="77" t="s">
        <v>408</v>
      </c>
      <c r="I476" s="94" t="s">
        <v>201</v>
      </c>
      <c r="J476" s="28"/>
      <c r="K476" s="29"/>
      <c r="L476" s="28"/>
      <c r="M476" s="28"/>
      <c r="N476" s="28"/>
      <c r="O476" s="28"/>
      <c r="P476" s="28"/>
      <c r="Q476" s="28"/>
      <c r="R476" s="28"/>
      <c r="S476" s="28"/>
      <c r="T476" s="28"/>
    </row>
    <row r="477" s="31" customFormat="1" ht="78.75" spans="1:20">
      <c r="A477" s="69"/>
      <c r="B477" s="75" t="s">
        <v>409</v>
      </c>
      <c r="C477" s="71"/>
      <c r="D477" s="85"/>
      <c r="E477" s="72"/>
      <c r="F477" s="72"/>
      <c r="G477" s="73"/>
      <c r="H477" s="77"/>
      <c r="I477" s="94"/>
      <c r="J477" s="28"/>
      <c r="K477" s="29"/>
      <c r="L477" s="28"/>
      <c r="M477" s="28"/>
      <c r="N477" s="28"/>
      <c r="O477" s="28"/>
      <c r="P477" s="28"/>
      <c r="Q477" s="28"/>
      <c r="R477" s="28"/>
      <c r="S477" s="28"/>
      <c r="T477" s="28"/>
    </row>
    <row r="478" s="31" customFormat="1" spans="1:20">
      <c r="A478" s="69"/>
      <c r="B478" s="75"/>
      <c r="C478" s="71"/>
      <c r="D478" s="85"/>
      <c r="E478" s="72"/>
      <c r="F478" s="72"/>
      <c r="G478" s="73"/>
      <c r="H478" s="77"/>
      <c r="I478" s="94"/>
      <c r="J478" s="28"/>
      <c r="K478" s="29"/>
      <c r="L478" s="28"/>
      <c r="M478" s="28"/>
      <c r="N478" s="28"/>
      <c r="O478" s="28"/>
      <c r="P478" s="28"/>
      <c r="Q478" s="28"/>
      <c r="R478" s="28"/>
      <c r="S478" s="28"/>
      <c r="T478" s="28"/>
    </row>
    <row r="479" s="31" customFormat="1" spans="1:20">
      <c r="A479" s="100"/>
      <c r="B479" s="86"/>
      <c r="C479" s="81" t="s">
        <v>41</v>
      </c>
      <c r="D479" s="81"/>
      <c r="E479" s="81"/>
      <c r="F479" s="81"/>
      <c r="G479" s="82">
        <f>SUM(G475:G478)</f>
        <v>133.864</v>
      </c>
      <c r="H479" s="77"/>
      <c r="I479" s="94"/>
      <c r="J479" s="28"/>
      <c r="K479" s="29"/>
      <c r="L479" s="28"/>
      <c r="M479" s="28"/>
      <c r="N479" s="28"/>
      <c r="O479" s="28"/>
      <c r="P479" s="28"/>
      <c r="Q479" s="28"/>
      <c r="R479" s="28"/>
      <c r="S479" s="28"/>
      <c r="T479" s="28"/>
    </row>
    <row r="480" s="32" customFormat="1" spans="1:20">
      <c r="A480" s="69">
        <v>200000</v>
      </c>
      <c r="B480" s="83" t="s">
        <v>410</v>
      </c>
      <c r="C480" s="81"/>
      <c r="D480" s="85"/>
      <c r="E480" s="87"/>
      <c r="F480" s="87"/>
      <c r="G480" s="73"/>
      <c r="H480" s="77"/>
      <c r="I480" s="94"/>
      <c r="J480" s="28"/>
      <c r="K480" s="29"/>
      <c r="L480" s="28"/>
      <c r="M480" s="28"/>
      <c r="N480" s="28"/>
      <c r="O480" s="28"/>
      <c r="P480" s="28"/>
      <c r="Q480" s="28"/>
      <c r="R480" s="28"/>
      <c r="S480" s="28"/>
      <c r="T480" s="28"/>
    </row>
    <row r="481" s="31" customFormat="1" spans="1:20">
      <c r="A481" s="69">
        <v>200100</v>
      </c>
      <c r="B481" s="99" t="s">
        <v>122</v>
      </c>
      <c r="C481" s="84"/>
      <c r="D481" s="85"/>
      <c r="E481" s="72"/>
      <c r="F481" s="72"/>
      <c r="G481" s="73"/>
      <c r="H481" s="77"/>
      <c r="I481" s="94"/>
      <c r="J481" s="28"/>
      <c r="K481" s="29"/>
      <c r="L481" s="28"/>
      <c r="M481" s="28"/>
      <c r="N481" s="28"/>
      <c r="O481" s="28"/>
      <c r="P481" s="28"/>
      <c r="Q481" s="28"/>
      <c r="R481" s="28"/>
      <c r="S481" s="28"/>
      <c r="T481" s="28"/>
    </row>
    <row r="482" s="31" customFormat="1" spans="1:20">
      <c r="A482" s="69"/>
      <c r="B482" s="99"/>
      <c r="C482" s="84"/>
      <c r="D482" s="85"/>
      <c r="E482" s="72"/>
      <c r="F482" s="72"/>
      <c r="G482" s="73"/>
      <c r="H482" s="77"/>
      <c r="I482" s="94"/>
      <c r="J482" s="28"/>
      <c r="K482" s="29"/>
      <c r="L482" s="28"/>
      <c r="M482" s="28"/>
      <c r="N482" s="28"/>
      <c r="O482" s="28"/>
      <c r="P482" s="28"/>
      <c r="Q482" s="28"/>
      <c r="R482" s="28"/>
      <c r="S482" s="28"/>
      <c r="T482" s="28"/>
    </row>
    <row r="483" s="31" customFormat="1" ht="22.5" spans="1:20">
      <c r="A483" s="122">
        <v>200105</v>
      </c>
      <c r="B483" s="70" t="s">
        <v>411</v>
      </c>
      <c r="C483" s="71" t="s">
        <v>32</v>
      </c>
      <c r="D483" s="85">
        <f>(18.6+3.02)*(11.2+1.2+1.2)</f>
        <v>294.032</v>
      </c>
      <c r="E483" s="72">
        <v>25.29</v>
      </c>
      <c r="F483" s="72">
        <f>IF(E483="","",ROUND(E483+(E483*$D$4),2))</f>
        <v>31.08</v>
      </c>
      <c r="G483" s="73">
        <f>D483*F483</f>
        <v>9138.51456</v>
      </c>
      <c r="H483" s="77" t="s">
        <v>412</v>
      </c>
      <c r="I483" s="94" t="s">
        <v>413</v>
      </c>
      <c r="J483" s="28"/>
      <c r="K483" s="29"/>
      <c r="L483" s="28"/>
      <c r="M483" s="28"/>
      <c r="N483" s="28"/>
      <c r="O483" s="28"/>
      <c r="P483" s="28"/>
      <c r="Q483" s="28"/>
      <c r="R483" s="28"/>
      <c r="S483" s="28"/>
      <c r="T483" s="28"/>
    </row>
    <row r="484" s="31" customFormat="1" ht="94.5" spans="1:20">
      <c r="A484" s="122"/>
      <c r="B484" s="75" t="s">
        <v>414</v>
      </c>
      <c r="C484" s="71"/>
      <c r="D484" s="85"/>
      <c r="E484" s="72"/>
      <c r="F484" s="72"/>
      <c r="G484" s="73"/>
      <c r="H484" s="77"/>
      <c r="I484" s="94"/>
      <c r="J484" s="28"/>
      <c r="K484" s="29"/>
      <c r="L484" s="28"/>
      <c r="M484" s="28"/>
      <c r="N484" s="28"/>
      <c r="O484" s="28"/>
      <c r="P484" s="28"/>
      <c r="Q484" s="28"/>
      <c r="R484" s="28"/>
      <c r="S484" s="28"/>
      <c r="T484" s="28"/>
    </row>
    <row r="485" s="31" customFormat="1" spans="1:20">
      <c r="A485" s="122"/>
      <c r="B485" s="75"/>
      <c r="C485" s="71"/>
      <c r="D485" s="85"/>
      <c r="E485" s="72"/>
      <c r="F485" s="72"/>
      <c r="G485" s="73"/>
      <c r="H485" s="77"/>
      <c r="I485" s="94"/>
      <c r="J485" s="28"/>
      <c r="K485" s="29"/>
      <c r="L485" s="28"/>
      <c r="M485" s="28"/>
      <c r="N485" s="28"/>
      <c r="O485" s="28"/>
      <c r="P485" s="28"/>
      <c r="Q485" s="28"/>
      <c r="R485" s="28"/>
      <c r="S485" s="28"/>
      <c r="T485" s="28"/>
    </row>
    <row r="486" s="31" customFormat="1" ht="31.5" spans="1:20">
      <c r="A486" s="122">
        <v>200106</v>
      </c>
      <c r="B486" s="123" t="s">
        <v>415</v>
      </c>
      <c r="C486" s="71" t="s">
        <v>104</v>
      </c>
      <c r="D486" s="85">
        <v>180</v>
      </c>
      <c r="E486" s="72">
        <v>4.41</v>
      </c>
      <c r="F486" s="72">
        <f>IF(E486="","",ROUND(E486+(E486*$D$4),2))</f>
        <v>5.42</v>
      </c>
      <c r="G486" s="73">
        <f>D486*F486</f>
        <v>975.6</v>
      </c>
      <c r="H486" s="77">
        <v>180</v>
      </c>
      <c r="I486" s="94" t="s">
        <v>413</v>
      </c>
      <c r="J486" s="28"/>
      <c r="K486" s="29"/>
      <c r="L486" s="28"/>
      <c r="M486" s="28"/>
      <c r="N486" s="28"/>
      <c r="O486" s="28"/>
      <c r="P486" s="28"/>
      <c r="Q486" s="28"/>
      <c r="R486" s="28"/>
      <c r="S486" s="28"/>
      <c r="T486" s="28"/>
    </row>
    <row r="487" s="31" customFormat="1" ht="78.75" spans="1:20">
      <c r="A487" s="122"/>
      <c r="B487" s="124" t="s">
        <v>416</v>
      </c>
      <c r="C487" s="71"/>
      <c r="D487" s="85"/>
      <c r="E487" s="72"/>
      <c r="F487" s="72"/>
      <c r="G487" s="73"/>
      <c r="H487" s="77"/>
      <c r="I487" s="94"/>
      <c r="J487" s="28"/>
      <c r="K487" s="29"/>
      <c r="L487" s="28"/>
      <c r="M487" s="28"/>
      <c r="N487" s="28"/>
      <c r="O487" s="28"/>
      <c r="P487" s="28"/>
      <c r="Q487" s="28"/>
      <c r="R487" s="28"/>
      <c r="S487" s="28"/>
      <c r="T487" s="28"/>
    </row>
    <row r="488" s="31" customFormat="1" spans="1:20">
      <c r="A488" s="122"/>
      <c r="B488" s="124"/>
      <c r="C488" s="71"/>
      <c r="D488" s="85"/>
      <c r="E488" s="72"/>
      <c r="F488" s="72"/>
      <c r="G488" s="73"/>
      <c r="H488" s="77"/>
      <c r="I488" s="94"/>
      <c r="J488" s="28"/>
      <c r="K488" s="29"/>
      <c r="L488" s="28"/>
      <c r="M488" s="28"/>
      <c r="N488" s="28"/>
      <c r="O488" s="28"/>
      <c r="P488" s="28"/>
      <c r="Q488" s="28"/>
      <c r="R488" s="28"/>
      <c r="S488" s="28"/>
      <c r="T488" s="28"/>
    </row>
    <row r="489" s="31" customFormat="1" spans="1:20">
      <c r="A489" s="122"/>
      <c r="B489" s="124"/>
      <c r="C489" s="71"/>
      <c r="D489" s="85"/>
      <c r="E489" s="72"/>
      <c r="F489" s="72"/>
      <c r="G489" s="73"/>
      <c r="H489" s="77"/>
      <c r="I489" s="94"/>
      <c r="J489" s="28"/>
      <c r="K489" s="29"/>
      <c r="L489" s="28"/>
      <c r="M489" s="28"/>
      <c r="N489" s="28"/>
      <c r="O489" s="28"/>
      <c r="P489" s="28"/>
      <c r="Q489" s="28"/>
      <c r="R489" s="28"/>
      <c r="S489" s="28"/>
      <c r="T489" s="28"/>
    </row>
    <row r="490" s="31" customFormat="1" spans="1:20">
      <c r="A490" s="122"/>
      <c r="B490" s="124"/>
      <c r="C490" s="71"/>
      <c r="D490" s="85"/>
      <c r="E490" s="72"/>
      <c r="F490" s="72"/>
      <c r="G490" s="73"/>
      <c r="H490" s="77"/>
      <c r="I490" s="94"/>
      <c r="J490" s="28"/>
      <c r="K490" s="29"/>
      <c r="L490" s="28"/>
      <c r="M490" s="28"/>
      <c r="N490" s="28"/>
      <c r="O490" s="28"/>
      <c r="P490" s="28"/>
      <c r="Q490" s="28"/>
      <c r="R490" s="28"/>
      <c r="S490" s="28"/>
      <c r="T490" s="28"/>
    </row>
    <row r="491" s="31" customFormat="1" spans="1:20">
      <c r="A491" s="122"/>
      <c r="B491" s="124"/>
      <c r="C491" s="71"/>
      <c r="D491" s="85"/>
      <c r="E491" s="72"/>
      <c r="F491" s="72"/>
      <c r="G491" s="73"/>
      <c r="H491" s="77"/>
      <c r="I491" s="94"/>
      <c r="J491" s="28"/>
      <c r="K491" s="29"/>
      <c r="L491" s="28"/>
      <c r="M491" s="28"/>
      <c r="N491" s="28"/>
      <c r="O491" s="28"/>
      <c r="P491" s="28"/>
      <c r="Q491" s="28"/>
      <c r="R491" s="28"/>
      <c r="S491" s="28"/>
      <c r="T491" s="28"/>
    </row>
    <row r="492" s="31" customFormat="1" spans="1:20">
      <c r="A492" s="122"/>
      <c r="B492" s="124"/>
      <c r="C492" s="71"/>
      <c r="D492" s="85"/>
      <c r="E492" s="72"/>
      <c r="F492" s="72"/>
      <c r="G492" s="73"/>
      <c r="H492" s="77"/>
      <c r="I492" s="94"/>
      <c r="J492" s="28"/>
      <c r="K492" s="29"/>
      <c r="L492" s="28"/>
      <c r="M492" s="28"/>
      <c r="N492" s="28"/>
      <c r="O492" s="28"/>
      <c r="P492" s="28"/>
      <c r="Q492" s="28"/>
      <c r="R492" s="28"/>
      <c r="S492" s="28"/>
      <c r="T492" s="28"/>
    </row>
    <row r="493" s="31" customFormat="1" spans="1:20">
      <c r="A493" s="122"/>
      <c r="B493" s="124"/>
      <c r="C493" s="71"/>
      <c r="D493" s="85"/>
      <c r="E493" s="72"/>
      <c r="F493" s="72"/>
      <c r="G493" s="73"/>
      <c r="H493" s="77"/>
      <c r="I493" s="94"/>
      <c r="J493" s="28"/>
      <c r="K493" s="29"/>
      <c r="L493" s="28"/>
      <c r="M493" s="28"/>
      <c r="N493" s="28"/>
      <c r="O493" s="28"/>
      <c r="P493" s="28"/>
      <c r="Q493" s="28"/>
      <c r="R493" s="28"/>
      <c r="S493" s="28"/>
      <c r="T493" s="28"/>
    </row>
    <row r="494" s="31" customFormat="1" spans="1:20">
      <c r="A494" s="122"/>
      <c r="B494" s="124"/>
      <c r="C494" s="71"/>
      <c r="D494" s="85"/>
      <c r="E494" s="72"/>
      <c r="F494" s="72"/>
      <c r="G494" s="73"/>
      <c r="H494" s="77"/>
      <c r="I494" s="94"/>
      <c r="J494" s="28"/>
      <c r="K494" s="29"/>
      <c r="L494" s="28"/>
      <c r="M494" s="28"/>
      <c r="N494" s="28"/>
      <c r="O494" s="28"/>
      <c r="P494" s="28"/>
      <c r="Q494" s="28"/>
      <c r="R494" s="28"/>
      <c r="S494" s="28"/>
      <c r="T494" s="28"/>
    </row>
    <row r="495" s="31" customFormat="1" spans="1:20">
      <c r="A495" s="122"/>
      <c r="B495" s="124"/>
      <c r="C495" s="71"/>
      <c r="D495" s="85"/>
      <c r="E495" s="72"/>
      <c r="F495" s="72"/>
      <c r="G495" s="73"/>
      <c r="H495" s="77"/>
      <c r="I495" s="94"/>
      <c r="J495" s="28"/>
      <c r="K495" s="29"/>
      <c r="L495" s="28"/>
      <c r="M495" s="28"/>
      <c r="N495" s="28"/>
      <c r="O495" s="28"/>
      <c r="P495" s="28"/>
      <c r="Q495" s="28"/>
      <c r="R495" s="28"/>
      <c r="S495" s="28"/>
      <c r="T495" s="28"/>
    </row>
    <row r="496" s="31" customFormat="1" spans="1:20">
      <c r="A496" s="122">
        <v>200200</v>
      </c>
      <c r="B496" s="125" t="s">
        <v>417</v>
      </c>
      <c r="C496" s="71"/>
      <c r="D496" s="85"/>
      <c r="E496" s="72"/>
      <c r="F496" s="72"/>
      <c r="G496" s="73"/>
      <c r="H496" s="77"/>
      <c r="I496" s="94"/>
      <c r="J496" s="28"/>
      <c r="K496" s="29"/>
      <c r="L496" s="28"/>
      <c r="M496" s="28"/>
      <c r="N496" s="28"/>
      <c r="O496" s="28"/>
      <c r="P496" s="28"/>
      <c r="Q496" s="28"/>
      <c r="R496" s="28"/>
      <c r="S496" s="28"/>
      <c r="T496" s="28"/>
    </row>
    <row r="497" s="31" customFormat="1" ht="359.25" customHeight="1" spans="1:20">
      <c r="A497" s="122"/>
      <c r="B497" s="75" t="s">
        <v>418</v>
      </c>
      <c r="C497" s="71"/>
      <c r="D497" s="85"/>
      <c r="E497" s="72"/>
      <c r="F497" s="72"/>
      <c r="G497" s="73"/>
      <c r="H497" s="77"/>
      <c r="I497" s="94"/>
      <c r="J497" s="28"/>
      <c r="K497" s="29"/>
      <c r="L497" s="28"/>
      <c r="M497" s="28"/>
      <c r="N497" s="28"/>
      <c r="O497" s="28"/>
      <c r="P497" s="28"/>
      <c r="Q497" s="28"/>
      <c r="R497" s="28"/>
      <c r="S497" s="28"/>
      <c r="T497" s="28"/>
    </row>
    <row r="498" s="31" customFormat="1" spans="1:20">
      <c r="A498" s="122"/>
      <c r="B498" s="75"/>
      <c r="C498" s="71"/>
      <c r="D498" s="85"/>
      <c r="E498" s="72"/>
      <c r="F498" s="72"/>
      <c r="G498" s="73"/>
      <c r="H498" s="77"/>
      <c r="I498" s="94"/>
      <c r="J498" s="28"/>
      <c r="K498" s="29"/>
      <c r="L498" s="28"/>
      <c r="M498" s="28"/>
      <c r="N498" s="28"/>
      <c r="O498" s="28"/>
      <c r="P498" s="28"/>
      <c r="Q498" s="28"/>
      <c r="R498" s="28"/>
      <c r="S498" s="28"/>
      <c r="T498" s="28"/>
    </row>
    <row r="499" s="31" customFormat="1" ht="31.5" spans="1:20">
      <c r="A499" s="69" t="s">
        <v>419</v>
      </c>
      <c r="B499" s="70" t="s">
        <v>420</v>
      </c>
      <c r="C499" s="71" t="s">
        <v>104</v>
      </c>
      <c r="D499" s="85">
        <v>10.24</v>
      </c>
      <c r="E499" s="72">
        <v>330.69</v>
      </c>
      <c r="F499" s="72">
        <f>IF(E499="","",ROUND(E499+(E499*$D$4),2))</f>
        <v>406.35</v>
      </c>
      <c r="G499" s="73">
        <f>D499*F499</f>
        <v>4161.024</v>
      </c>
      <c r="H499" s="77">
        <v>10.24</v>
      </c>
      <c r="I499" s="94" t="s">
        <v>421</v>
      </c>
      <c r="J499" s="28"/>
      <c r="K499" s="29"/>
      <c r="L499" s="28"/>
      <c r="M499" s="28"/>
      <c r="N499" s="28"/>
      <c r="O499" s="28"/>
      <c r="P499" s="28"/>
      <c r="Q499" s="28"/>
      <c r="R499" s="28"/>
      <c r="S499" s="28"/>
      <c r="T499" s="28"/>
    </row>
    <row r="500" s="31" customFormat="1" spans="1:20">
      <c r="A500" s="69"/>
      <c r="B500" s="75"/>
      <c r="C500" s="71"/>
      <c r="D500" s="85"/>
      <c r="E500" s="72"/>
      <c r="F500" s="72"/>
      <c r="G500" s="73"/>
      <c r="H500" s="77"/>
      <c r="I500" s="94"/>
      <c r="J500" s="28"/>
      <c r="K500" s="29"/>
      <c r="L500" s="28"/>
      <c r="M500" s="28"/>
      <c r="N500" s="28"/>
      <c r="O500" s="28"/>
      <c r="P500" s="28"/>
      <c r="Q500" s="28"/>
      <c r="R500" s="28"/>
      <c r="S500" s="28"/>
      <c r="T500" s="28"/>
    </row>
    <row r="501" s="31" customFormat="1" ht="47.25" spans="1:20">
      <c r="A501" s="69" t="s">
        <v>422</v>
      </c>
      <c r="B501" s="70" t="s">
        <v>423</v>
      </c>
      <c r="C501" s="71" t="s">
        <v>104</v>
      </c>
      <c r="D501" s="85">
        <f>(28-4.7)*2+18+21.62*2-3.9-4.5+3.75+1.66</f>
        <v>104.85</v>
      </c>
      <c r="E501" s="72">
        <v>506.46</v>
      </c>
      <c r="F501" s="72">
        <f>IF(E501="","",ROUND(E501+(E501*$D$4),2))</f>
        <v>622.34</v>
      </c>
      <c r="G501" s="73">
        <f>D501*F501</f>
        <v>65252.349</v>
      </c>
      <c r="H501" s="77" t="s">
        <v>424</v>
      </c>
      <c r="I501" s="94" t="s">
        <v>425</v>
      </c>
      <c r="J501" s="28"/>
      <c r="K501" s="29"/>
      <c r="L501" s="28"/>
      <c r="M501" s="28"/>
      <c r="N501" s="28"/>
      <c r="O501" s="28"/>
      <c r="P501" s="28"/>
      <c r="Q501" s="28"/>
      <c r="R501" s="28"/>
      <c r="S501" s="28"/>
      <c r="T501" s="28"/>
    </row>
    <row r="502" s="31" customFormat="1" spans="1:20">
      <c r="A502" s="69"/>
      <c r="B502" s="70"/>
      <c r="C502" s="71"/>
      <c r="D502" s="85"/>
      <c r="E502" s="72"/>
      <c r="F502" s="72"/>
      <c r="G502" s="73"/>
      <c r="H502" s="77"/>
      <c r="I502" s="94"/>
      <c r="J502" s="28"/>
      <c r="K502" s="29"/>
      <c r="L502" s="28"/>
      <c r="M502" s="28"/>
      <c r="N502" s="28"/>
      <c r="O502" s="28"/>
      <c r="P502" s="28"/>
      <c r="Q502" s="28"/>
      <c r="R502" s="28"/>
      <c r="S502" s="28"/>
      <c r="T502" s="28"/>
    </row>
    <row r="503" s="31" customFormat="1" spans="1:20">
      <c r="A503" s="69"/>
      <c r="B503" s="70"/>
      <c r="C503" s="71"/>
      <c r="D503" s="85"/>
      <c r="E503" s="72"/>
      <c r="F503" s="72"/>
      <c r="G503" s="73"/>
      <c r="H503" s="77"/>
      <c r="I503" s="94"/>
      <c r="J503" s="28"/>
      <c r="K503" s="29"/>
      <c r="L503" s="28"/>
      <c r="M503" s="28"/>
      <c r="N503" s="28"/>
      <c r="O503" s="28"/>
      <c r="P503" s="28"/>
      <c r="Q503" s="28"/>
      <c r="R503" s="28"/>
      <c r="S503" s="28"/>
      <c r="T503" s="28"/>
    </row>
    <row r="504" s="31" customFormat="1" spans="1:20">
      <c r="A504" s="69"/>
      <c r="B504" s="70"/>
      <c r="C504" s="71"/>
      <c r="D504" s="85"/>
      <c r="E504" s="72"/>
      <c r="F504" s="72"/>
      <c r="G504" s="73"/>
      <c r="H504" s="77"/>
      <c r="I504" s="94"/>
      <c r="J504" s="28"/>
      <c r="K504" s="29"/>
      <c r="L504" s="28"/>
      <c r="M504" s="28"/>
      <c r="N504" s="28"/>
      <c r="O504" s="28"/>
      <c r="P504" s="28"/>
      <c r="Q504" s="28"/>
      <c r="R504" s="28"/>
      <c r="S504" s="28"/>
      <c r="T504" s="28"/>
    </row>
    <row r="505" s="31" customFormat="1" spans="1:20">
      <c r="A505" s="69"/>
      <c r="B505" s="70"/>
      <c r="C505" s="71"/>
      <c r="D505" s="85"/>
      <c r="E505" s="72"/>
      <c r="F505" s="72"/>
      <c r="G505" s="73"/>
      <c r="H505" s="77"/>
      <c r="I505" s="94"/>
      <c r="J505" s="28"/>
      <c r="K505" s="29"/>
      <c r="L505" s="28"/>
      <c r="M505" s="28"/>
      <c r="N505" s="28"/>
      <c r="O505" s="28"/>
      <c r="P505" s="28"/>
      <c r="Q505" s="28"/>
      <c r="R505" s="28"/>
      <c r="S505" s="28"/>
      <c r="T505" s="28"/>
    </row>
    <row r="506" s="31" customFormat="1" spans="1:20">
      <c r="A506" s="69"/>
      <c r="B506" s="70"/>
      <c r="C506" s="71"/>
      <c r="D506" s="85"/>
      <c r="E506" s="72"/>
      <c r="F506" s="72"/>
      <c r="G506" s="73"/>
      <c r="H506" s="77"/>
      <c r="I506" s="94"/>
      <c r="J506" s="28"/>
      <c r="K506" s="29"/>
      <c r="L506" s="28"/>
      <c r="M506" s="28"/>
      <c r="N506" s="28"/>
      <c r="O506" s="28"/>
      <c r="P506" s="28"/>
      <c r="Q506" s="28"/>
      <c r="R506" s="28"/>
      <c r="S506" s="28"/>
      <c r="T506" s="28"/>
    </row>
    <row r="507" s="31" customFormat="1" spans="1:20">
      <c r="A507" s="69"/>
      <c r="B507" s="70"/>
      <c r="C507" s="71"/>
      <c r="D507" s="85"/>
      <c r="E507" s="72"/>
      <c r="F507" s="72"/>
      <c r="G507" s="73"/>
      <c r="H507" s="77"/>
      <c r="I507" s="94"/>
      <c r="J507" s="28"/>
      <c r="K507" s="29"/>
      <c r="L507" s="28"/>
      <c r="M507" s="28"/>
      <c r="N507" s="28"/>
      <c r="O507" s="28"/>
      <c r="P507" s="28"/>
      <c r="Q507" s="28"/>
      <c r="R507" s="28"/>
      <c r="S507" s="28"/>
      <c r="T507" s="28"/>
    </row>
    <row r="508" s="31" customFormat="1" spans="1:20">
      <c r="A508" s="69"/>
      <c r="B508" s="70"/>
      <c r="C508" s="71"/>
      <c r="D508" s="85"/>
      <c r="E508" s="72"/>
      <c r="F508" s="72"/>
      <c r="G508" s="73"/>
      <c r="H508" s="77"/>
      <c r="I508" s="94"/>
      <c r="J508" s="28"/>
      <c r="K508" s="29"/>
      <c r="L508" s="28"/>
      <c r="M508" s="28"/>
      <c r="N508" s="28"/>
      <c r="O508" s="28"/>
      <c r="P508" s="28"/>
      <c r="Q508" s="28"/>
      <c r="R508" s="28"/>
      <c r="S508" s="28"/>
      <c r="T508" s="28"/>
    </row>
    <row r="509" s="31" customFormat="1" spans="1:20">
      <c r="A509" s="69"/>
      <c r="B509" s="70"/>
      <c r="C509" s="71"/>
      <c r="D509" s="85"/>
      <c r="E509" s="72"/>
      <c r="F509" s="72"/>
      <c r="G509" s="73"/>
      <c r="H509" s="77"/>
      <c r="I509" s="94"/>
      <c r="J509" s="28"/>
      <c r="K509" s="29"/>
      <c r="L509" s="28"/>
      <c r="M509" s="28"/>
      <c r="N509" s="28"/>
      <c r="O509" s="28"/>
      <c r="P509" s="28"/>
      <c r="Q509" s="28"/>
      <c r="R509" s="28"/>
      <c r="S509" s="28"/>
      <c r="T509" s="28"/>
    </row>
    <row r="510" s="31" customFormat="1" spans="1:20">
      <c r="A510" s="69"/>
      <c r="B510" s="70"/>
      <c r="C510" s="71"/>
      <c r="D510" s="85"/>
      <c r="E510" s="72"/>
      <c r="F510" s="72"/>
      <c r="G510" s="73"/>
      <c r="H510" s="77"/>
      <c r="I510" s="94"/>
      <c r="J510" s="28"/>
      <c r="K510" s="29"/>
      <c r="L510" s="28"/>
      <c r="M510" s="28"/>
      <c r="N510" s="28"/>
      <c r="O510" s="28"/>
      <c r="P510" s="28"/>
      <c r="Q510" s="28"/>
      <c r="R510" s="28"/>
      <c r="S510" s="28"/>
      <c r="T510" s="28"/>
    </row>
    <row r="511" s="31" customFormat="1" spans="1:20">
      <c r="A511" s="69"/>
      <c r="B511" s="75"/>
      <c r="C511" s="71"/>
      <c r="D511" s="85"/>
      <c r="E511" s="72"/>
      <c r="F511" s="72"/>
      <c r="G511" s="73"/>
      <c r="H511" s="77"/>
      <c r="I511" s="94"/>
      <c r="J511" s="28"/>
      <c r="K511" s="29"/>
      <c r="L511" s="28"/>
      <c r="M511" s="28"/>
      <c r="N511" s="28"/>
      <c r="O511" s="28"/>
      <c r="P511" s="28"/>
      <c r="Q511" s="28"/>
      <c r="R511" s="28"/>
      <c r="S511" s="28"/>
      <c r="T511" s="28"/>
    </row>
    <row r="512" s="31" customFormat="1" ht="36" customHeight="1" spans="1:20">
      <c r="A512" s="69" t="s">
        <v>426</v>
      </c>
      <c r="B512" s="70" t="s">
        <v>427</v>
      </c>
      <c r="C512" s="71" t="s">
        <v>21</v>
      </c>
      <c r="D512" s="85">
        <f>1.5*3.5*3+3*1.3*2.5+4.05*2.5*2</f>
        <v>45.75</v>
      </c>
      <c r="E512" s="72">
        <v>415.18</v>
      </c>
      <c r="F512" s="72">
        <f>IF(E512="","",ROUND(E512+(E512*$D$4),2))</f>
        <v>510.17</v>
      </c>
      <c r="G512" s="73">
        <f>D512*F512</f>
        <v>23340.2775</v>
      </c>
      <c r="H512" s="109" t="s">
        <v>428</v>
      </c>
      <c r="I512" s="126"/>
      <c r="J512" s="28"/>
      <c r="K512" s="29"/>
      <c r="L512" s="28"/>
      <c r="M512" s="28"/>
      <c r="N512" s="28"/>
      <c r="O512" s="28"/>
      <c r="P512" s="28"/>
      <c r="Q512" s="28"/>
      <c r="R512" s="28"/>
      <c r="S512" s="28"/>
      <c r="T512" s="28"/>
    </row>
    <row r="513" s="31" customFormat="1" ht="141.75" spans="1:20">
      <c r="A513" s="69"/>
      <c r="B513" s="75" t="s">
        <v>429</v>
      </c>
      <c r="C513" s="71"/>
      <c r="D513" s="85"/>
      <c r="E513" s="72"/>
      <c r="F513" s="72"/>
      <c r="G513" s="73"/>
      <c r="H513" s="77"/>
      <c r="I513" s="94"/>
      <c r="J513" s="28"/>
      <c r="K513" s="29"/>
      <c r="L513" s="28"/>
      <c r="M513" s="28"/>
      <c r="N513" s="28"/>
      <c r="O513" s="28"/>
      <c r="P513" s="28"/>
      <c r="Q513" s="28"/>
      <c r="R513" s="28"/>
      <c r="S513" s="28"/>
      <c r="T513" s="28"/>
    </row>
    <row r="514" s="31" customFormat="1" spans="1:20">
      <c r="A514" s="69"/>
      <c r="B514" s="75"/>
      <c r="C514" s="71"/>
      <c r="D514" s="85"/>
      <c r="E514" s="72"/>
      <c r="F514" s="72"/>
      <c r="G514" s="73"/>
      <c r="H514" s="77"/>
      <c r="I514" s="94"/>
      <c r="J514" s="28"/>
      <c r="K514" s="29"/>
      <c r="L514" s="28"/>
      <c r="M514" s="28"/>
      <c r="N514" s="28"/>
      <c r="O514" s="28"/>
      <c r="P514" s="28"/>
      <c r="Q514" s="28"/>
      <c r="R514" s="28"/>
      <c r="S514" s="28"/>
      <c r="T514" s="28"/>
    </row>
    <row r="515" s="31" customFormat="1" spans="1:20">
      <c r="A515" s="69"/>
      <c r="B515" s="75"/>
      <c r="C515" s="71"/>
      <c r="D515" s="85"/>
      <c r="E515" s="72"/>
      <c r="F515" s="72"/>
      <c r="G515" s="73"/>
      <c r="H515" s="77"/>
      <c r="I515" s="94"/>
      <c r="J515" s="28"/>
      <c r="K515" s="29"/>
      <c r="L515" s="28"/>
      <c r="M515" s="28"/>
      <c r="N515" s="28"/>
      <c r="O515" s="28"/>
      <c r="P515" s="28"/>
      <c r="Q515" s="28"/>
      <c r="R515" s="28"/>
      <c r="S515" s="28"/>
      <c r="T515" s="28"/>
    </row>
    <row r="516" s="31" customFormat="1" spans="1:20">
      <c r="A516" s="69"/>
      <c r="B516" s="75"/>
      <c r="C516" s="71"/>
      <c r="D516" s="85"/>
      <c r="E516" s="72"/>
      <c r="F516" s="72"/>
      <c r="G516" s="73"/>
      <c r="H516" s="77"/>
      <c r="I516" s="94"/>
      <c r="J516" s="28"/>
      <c r="K516" s="29"/>
      <c r="L516" s="28"/>
      <c r="M516" s="28"/>
      <c r="N516" s="28"/>
      <c r="O516" s="28"/>
      <c r="P516" s="28"/>
      <c r="Q516" s="28"/>
      <c r="R516" s="28"/>
      <c r="S516" s="28"/>
      <c r="T516" s="28"/>
    </row>
    <row r="517" s="31" customFormat="1" spans="1:20">
      <c r="A517" s="69"/>
      <c r="B517" s="75"/>
      <c r="C517" s="71"/>
      <c r="D517" s="85"/>
      <c r="E517" s="72"/>
      <c r="F517" s="72"/>
      <c r="G517" s="73"/>
      <c r="H517" s="77"/>
      <c r="I517" s="94"/>
      <c r="J517" s="28"/>
      <c r="K517" s="29"/>
      <c r="L517" s="28"/>
      <c r="M517" s="28"/>
      <c r="N517" s="28"/>
      <c r="O517" s="28"/>
      <c r="P517" s="28"/>
      <c r="Q517" s="28"/>
      <c r="R517" s="28"/>
      <c r="S517" s="28"/>
      <c r="T517" s="28"/>
    </row>
    <row r="518" s="31" customFormat="1" spans="1:20">
      <c r="A518" s="69"/>
      <c r="B518" s="75"/>
      <c r="C518" s="71"/>
      <c r="D518" s="85"/>
      <c r="E518" s="72"/>
      <c r="F518" s="72"/>
      <c r="G518" s="73"/>
      <c r="H518" s="77"/>
      <c r="I518" s="94"/>
      <c r="J518" s="28"/>
      <c r="K518" s="29"/>
      <c r="L518" s="28"/>
      <c r="M518" s="28"/>
      <c r="N518" s="28"/>
      <c r="O518" s="28"/>
      <c r="P518" s="28"/>
      <c r="Q518" s="28"/>
      <c r="R518" s="28"/>
      <c r="S518" s="28"/>
      <c r="T518" s="28"/>
    </row>
    <row r="519" s="31" customFormat="1" spans="1:20">
      <c r="A519" s="69"/>
      <c r="B519" s="75"/>
      <c r="C519" s="71"/>
      <c r="D519" s="85"/>
      <c r="E519" s="72"/>
      <c r="F519" s="72"/>
      <c r="G519" s="73"/>
      <c r="H519" s="77"/>
      <c r="I519" s="94"/>
      <c r="J519" s="28"/>
      <c r="K519" s="29"/>
      <c r="L519" s="28"/>
      <c r="M519" s="28"/>
      <c r="N519" s="28"/>
      <c r="O519" s="28"/>
      <c r="P519" s="28"/>
      <c r="Q519" s="28"/>
      <c r="R519" s="28"/>
      <c r="S519" s="28"/>
      <c r="T519" s="28"/>
    </row>
    <row r="520" s="31" customFormat="1" spans="1:20">
      <c r="A520" s="69"/>
      <c r="B520" s="75"/>
      <c r="C520" s="71"/>
      <c r="D520" s="85"/>
      <c r="E520" s="72"/>
      <c r="F520" s="72"/>
      <c r="G520" s="73"/>
      <c r="H520" s="77"/>
      <c r="I520" s="94"/>
      <c r="J520" s="28"/>
      <c r="K520" s="29"/>
      <c r="L520" s="28"/>
      <c r="M520" s="28"/>
      <c r="N520" s="28"/>
      <c r="O520" s="28"/>
      <c r="P520" s="28"/>
      <c r="Q520" s="28"/>
      <c r="R520" s="28"/>
      <c r="S520" s="28"/>
      <c r="T520" s="28"/>
    </row>
    <row r="521" s="31" customFormat="1" spans="1:20">
      <c r="A521" s="69"/>
      <c r="B521" s="75"/>
      <c r="C521" s="71"/>
      <c r="D521" s="85"/>
      <c r="E521" s="72"/>
      <c r="F521" s="72"/>
      <c r="G521" s="73"/>
      <c r="H521" s="77"/>
      <c r="I521" s="94"/>
      <c r="J521" s="28"/>
      <c r="K521" s="29"/>
      <c r="L521" s="28"/>
      <c r="M521" s="28"/>
      <c r="N521" s="28"/>
      <c r="O521" s="28"/>
      <c r="P521" s="28"/>
      <c r="Q521" s="28"/>
      <c r="R521" s="28"/>
      <c r="S521" s="28"/>
      <c r="T521" s="28"/>
    </row>
    <row r="522" s="31" customFormat="1" spans="1:20">
      <c r="A522" s="69"/>
      <c r="B522" s="75"/>
      <c r="C522" s="71"/>
      <c r="D522" s="85"/>
      <c r="E522" s="72"/>
      <c r="F522" s="72"/>
      <c r="G522" s="73"/>
      <c r="H522" s="77"/>
      <c r="I522" s="94"/>
      <c r="J522" s="28"/>
      <c r="K522" s="29"/>
      <c r="L522" s="28"/>
      <c r="M522" s="28"/>
      <c r="N522" s="28"/>
      <c r="O522" s="28"/>
      <c r="P522" s="28"/>
      <c r="Q522" s="28"/>
      <c r="R522" s="28"/>
      <c r="S522" s="28"/>
      <c r="T522" s="28"/>
    </row>
    <row r="523" s="31" customFormat="1" spans="1:20">
      <c r="A523" s="69"/>
      <c r="B523" s="75"/>
      <c r="C523" s="71"/>
      <c r="D523" s="85"/>
      <c r="E523" s="72"/>
      <c r="F523" s="72"/>
      <c r="G523" s="73"/>
      <c r="H523" s="77"/>
      <c r="I523" s="94"/>
      <c r="J523" s="28"/>
      <c r="K523" s="29"/>
      <c r="L523" s="28"/>
      <c r="M523" s="28"/>
      <c r="N523" s="28"/>
      <c r="O523" s="28"/>
      <c r="P523" s="28"/>
      <c r="Q523" s="28"/>
      <c r="R523" s="28"/>
      <c r="S523" s="28"/>
      <c r="T523" s="28"/>
    </row>
    <row r="524" s="31" customFormat="1" spans="1:20">
      <c r="A524" s="69"/>
      <c r="B524" s="75"/>
      <c r="C524" s="71"/>
      <c r="D524" s="85"/>
      <c r="E524" s="72"/>
      <c r="F524" s="72"/>
      <c r="G524" s="73"/>
      <c r="H524" s="77"/>
      <c r="I524" s="94"/>
      <c r="J524" s="28"/>
      <c r="K524" s="29"/>
      <c r="L524" s="28"/>
      <c r="M524" s="28"/>
      <c r="N524" s="28"/>
      <c r="O524" s="28"/>
      <c r="P524" s="28"/>
      <c r="Q524" s="28"/>
      <c r="R524" s="28"/>
      <c r="S524" s="28"/>
      <c r="T524" s="28"/>
    </row>
    <row r="525" s="31" customFormat="1" spans="1:20">
      <c r="A525" s="69"/>
      <c r="B525" s="75"/>
      <c r="C525" s="71"/>
      <c r="D525" s="85"/>
      <c r="E525" s="72"/>
      <c r="F525" s="72"/>
      <c r="G525" s="73"/>
      <c r="H525" s="77"/>
      <c r="I525" s="94"/>
      <c r="J525" s="28"/>
      <c r="K525" s="29"/>
      <c r="L525" s="28"/>
      <c r="M525" s="28"/>
      <c r="N525" s="28"/>
      <c r="O525" s="28"/>
      <c r="P525" s="28"/>
      <c r="Q525" s="28"/>
      <c r="R525" s="28"/>
      <c r="S525" s="28"/>
      <c r="T525" s="28"/>
    </row>
    <row r="526" s="31" customFormat="1" spans="1:20">
      <c r="A526" s="69"/>
      <c r="B526" s="75"/>
      <c r="C526" s="71"/>
      <c r="D526" s="85"/>
      <c r="E526" s="72"/>
      <c r="F526" s="72"/>
      <c r="G526" s="73"/>
      <c r="H526" s="77"/>
      <c r="I526" s="94"/>
      <c r="J526" s="28"/>
      <c r="K526" s="29"/>
      <c r="L526" s="28"/>
      <c r="M526" s="28"/>
      <c r="N526" s="28"/>
      <c r="O526" s="28"/>
      <c r="P526" s="28"/>
      <c r="Q526" s="28"/>
      <c r="R526" s="28"/>
      <c r="S526" s="28"/>
      <c r="T526" s="28"/>
    </row>
    <row r="527" s="31" customFormat="1" spans="1:20">
      <c r="A527" s="69"/>
      <c r="B527" s="75"/>
      <c r="C527" s="71"/>
      <c r="D527" s="85"/>
      <c r="E527" s="72"/>
      <c r="F527" s="72"/>
      <c r="G527" s="73"/>
      <c r="H527" s="77"/>
      <c r="I527" s="94"/>
      <c r="J527" s="28"/>
      <c r="K527" s="29"/>
      <c r="L527" s="28"/>
      <c r="M527" s="28"/>
      <c r="N527" s="28"/>
      <c r="O527" s="28"/>
      <c r="P527" s="28"/>
      <c r="Q527" s="28"/>
      <c r="R527" s="28"/>
      <c r="S527" s="28"/>
      <c r="T527" s="28"/>
    </row>
    <row r="528" s="31" customFormat="1" spans="1:20">
      <c r="A528" s="69"/>
      <c r="B528" s="75"/>
      <c r="C528" s="71"/>
      <c r="D528" s="85"/>
      <c r="E528" s="72"/>
      <c r="F528" s="72"/>
      <c r="G528" s="73"/>
      <c r="H528" s="77"/>
      <c r="I528" s="94"/>
      <c r="J528" s="28"/>
      <c r="K528" s="29"/>
      <c r="L528" s="28"/>
      <c r="M528" s="28"/>
      <c r="N528" s="28"/>
      <c r="O528" s="28"/>
      <c r="P528" s="28"/>
      <c r="Q528" s="28"/>
      <c r="R528" s="28"/>
      <c r="S528" s="28"/>
      <c r="T528" s="28"/>
    </row>
    <row r="529" s="31" customFormat="1" spans="1:20">
      <c r="A529" s="69"/>
      <c r="B529" s="75"/>
      <c r="C529" s="71"/>
      <c r="D529" s="85"/>
      <c r="E529" s="72"/>
      <c r="F529" s="72"/>
      <c r="G529" s="73"/>
      <c r="H529" s="77"/>
      <c r="I529" s="94"/>
      <c r="J529" s="28"/>
      <c r="K529" s="29"/>
      <c r="L529" s="28"/>
      <c r="M529" s="28"/>
      <c r="N529" s="28"/>
      <c r="O529" s="28"/>
      <c r="P529" s="28"/>
      <c r="Q529" s="28"/>
      <c r="R529" s="28"/>
      <c r="S529" s="28"/>
      <c r="T529" s="28"/>
    </row>
    <row r="530" s="31" customFormat="1" spans="1:20">
      <c r="A530" s="69"/>
      <c r="B530" s="75"/>
      <c r="C530" s="71"/>
      <c r="D530" s="85"/>
      <c r="E530" s="72"/>
      <c r="F530" s="72"/>
      <c r="G530" s="73"/>
      <c r="H530" s="77"/>
      <c r="I530" s="94"/>
      <c r="J530" s="28"/>
      <c r="K530" s="29"/>
      <c r="L530" s="28"/>
      <c r="M530" s="28"/>
      <c r="N530" s="28"/>
      <c r="O530" s="28"/>
      <c r="P530" s="28"/>
      <c r="Q530" s="28"/>
      <c r="R530" s="28"/>
      <c r="S530" s="28"/>
      <c r="T530" s="28"/>
    </row>
    <row r="531" s="31" customFormat="1" spans="1:20">
      <c r="A531" s="69"/>
      <c r="B531" s="75"/>
      <c r="C531" s="71"/>
      <c r="D531" s="85"/>
      <c r="E531" s="72"/>
      <c r="F531" s="72"/>
      <c r="G531" s="73"/>
      <c r="H531" s="77"/>
      <c r="I531" s="94"/>
      <c r="J531" s="28"/>
      <c r="K531" s="29"/>
      <c r="L531" s="28"/>
      <c r="M531" s="28"/>
      <c r="N531" s="28"/>
      <c r="O531" s="28"/>
      <c r="P531" s="28"/>
      <c r="Q531" s="28"/>
      <c r="R531" s="28"/>
      <c r="S531" s="28"/>
      <c r="T531" s="28"/>
    </row>
    <row r="532" s="31" customFormat="1" spans="1:20">
      <c r="A532" s="69"/>
      <c r="B532" s="75"/>
      <c r="C532" s="71"/>
      <c r="D532" s="85"/>
      <c r="E532" s="72"/>
      <c r="F532" s="72"/>
      <c r="G532" s="73"/>
      <c r="H532" s="77"/>
      <c r="I532" s="94"/>
      <c r="J532" s="28"/>
      <c r="K532" s="29"/>
      <c r="L532" s="28"/>
      <c r="M532" s="28"/>
      <c r="N532" s="28"/>
      <c r="O532" s="28"/>
      <c r="P532" s="28"/>
      <c r="Q532" s="28"/>
      <c r="R532" s="28"/>
      <c r="S532" s="28"/>
      <c r="T532" s="28"/>
    </row>
    <row r="533" s="31" customFormat="1" spans="1:20">
      <c r="A533" s="69"/>
      <c r="B533" s="75"/>
      <c r="C533" s="71"/>
      <c r="D533" s="85"/>
      <c r="E533" s="72"/>
      <c r="F533" s="72"/>
      <c r="G533" s="73"/>
      <c r="H533" s="77"/>
      <c r="I533" s="94"/>
      <c r="J533" s="28"/>
      <c r="K533" s="29"/>
      <c r="L533" s="28"/>
      <c r="M533" s="28"/>
      <c r="N533" s="28"/>
      <c r="O533" s="28"/>
      <c r="P533" s="28"/>
      <c r="Q533" s="28"/>
      <c r="R533" s="28"/>
      <c r="S533" s="28"/>
      <c r="T533" s="28"/>
    </row>
    <row r="534" s="31" customFormat="1" spans="1:20">
      <c r="A534" s="69"/>
      <c r="B534" s="75"/>
      <c r="C534" s="71"/>
      <c r="D534" s="85"/>
      <c r="E534" s="72"/>
      <c r="F534" s="72"/>
      <c r="G534" s="73"/>
      <c r="H534" s="77"/>
      <c r="I534" s="94"/>
      <c r="J534" s="28"/>
      <c r="K534" s="29"/>
      <c r="L534" s="28"/>
      <c r="M534" s="28"/>
      <c r="N534" s="28"/>
      <c r="O534" s="28"/>
      <c r="P534" s="28"/>
      <c r="Q534" s="28"/>
      <c r="R534" s="28"/>
      <c r="S534" s="28"/>
      <c r="T534" s="28"/>
    </row>
    <row r="535" s="31" customFormat="1" spans="1:20">
      <c r="A535" s="69"/>
      <c r="B535" s="75"/>
      <c r="C535" s="71"/>
      <c r="D535" s="85"/>
      <c r="E535" s="72"/>
      <c r="F535" s="72"/>
      <c r="G535" s="73"/>
      <c r="H535" s="77"/>
      <c r="I535" s="94"/>
      <c r="J535" s="28"/>
      <c r="K535" s="29"/>
      <c r="L535" s="28"/>
      <c r="M535" s="28"/>
      <c r="N535" s="28"/>
      <c r="O535" s="28"/>
      <c r="P535" s="28"/>
      <c r="Q535" s="28"/>
      <c r="R535" s="28"/>
      <c r="S535" s="28"/>
      <c r="T535" s="28"/>
    </row>
    <row r="536" s="31" customFormat="1" spans="1:20">
      <c r="A536" s="69"/>
      <c r="B536" s="75"/>
      <c r="C536" s="71"/>
      <c r="D536" s="85"/>
      <c r="E536" s="72"/>
      <c r="F536" s="72"/>
      <c r="G536" s="73"/>
      <c r="H536" s="77"/>
      <c r="I536" s="94"/>
      <c r="J536" s="28"/>
      <c r="K536" s="29"/>
      <c r="L536" s="28"/>
      <c r="M536" s="28"/>
      <c r="N536" s="28"/>
      <c r="O536" s="28"/>
      <c r="P536" s="28"/>
      <c r="Q536" s="28"/>
      <c r="R536" s="28"/>
      <c r="S536" s="28"/>
      <c r="T536" s="28"/>
    </row>
    <row r="537" s="31" customFormat="1" spans="1:20">
      <c r="A537" s="69"/>
      <c r="B537" s="75"/>
      <c r="C537" s="71"/>
      <c r="D537" s="85"/>
      <c r="E537" s="72"/>
      <c r="F537" s="72"/>
      <c r="G537" s="73"/>
      <c r="H537" s="77"/>
      <c r="I537" s="94"/>
      <c r="J537" s="28"/>
      <c r="K537" s="29"/>
      <c r="L537" s="28"/>
      <c r="M537" s="28"/>
      <c r="N537" s="28"/>
      <c r="O537" s="28"/>
      <c r="P537" s="28"/>
      <c r="Q537" s="28"/>
      <c r="R537" s="28"/>
      <c r="S537" s="28"/>
      <c r="T537" s="28"/>
    </row>
    <row r="538" s="31" customFormat="1" spans="1:20">
      <c r="A538" s="69"/>
      <c r="B538" s="75"/>
      <c r="C538" s="71"/>
      <c r="D538" s="85"/>
      <c r="E538" s="72"/>
      <c r="F538" s="72"/>
      <c r="G538" s="73"/>
      <c r="H538" s="77"/>
      <c r="I538" s="94"/>
      <c r="J538" s="28"/>
      <c r="K538" s="29"/>
      <c r="L538" s="28"/>
      <c r="M538" s="28"/>
      <c r="N538" s="28"/>
      <c r="O538" s="28"/>
      <c r="P538" s="28"/>
      <c r="Q538" s="28"/>
      <c r="R538" s="28"/>
      <c r="S538" s="28"/>
      <c r="T538" s="28"/>
    </row>
    <row r="539" s="31" customFormat="1" ht="55.5" customHeight="1" spans="1:20">
      <c r="A539" s="69" t="s">
        <v>430</v>
      </c>
      <c r="B539" s="99" t="s">
        <v>431</v>
      </c>
      <c r="C539" s="71"/>
      <c r="D539" s="85"/>
      <c r="E539" s="72"/>
      <c r="F539" s="72"/>
      <c r="G539" s="73"/>
      <c r="H539" s="77"/>
      <c r="I539" s="94"/>
      <c r="J539" s="28"/>
      <c r="K539" s="29"/>
      <c r="L539" s="28"/>
      <c r="M539" s="28"/>
      <c r="N539" s="28"/>
      <c r="O539" s="28"/>
      <c r="P539" s="28"/>
      <c r="Q539" s="28"/>
      <c r="R539" s="28"/>
      <c r="S539" s="28"/>
      <c r="T539" s="28"/>
    </row>
    <row r="540" s="31" customFormat="1" spans="1:20">
      <c r="A540" s="69" t="s">
        <v>432</v>
      </c>
      <c r="B540" s="70" t="s">
        <v>433</v>
      </c>
      <c r="C540" s="71" t="s">
        <v>434</v>
      </c>
      <c r="D540" s="85">
        <v>1</v>
      </c>
      <c r="E540" s="87">
        <v>11496.69</v>
      </c>
      <c r="F540" s="72">
        <f>IF(E540="","",ROUND(E540+(E540*$D$4),2))</f>
        <v>14127.13</v>
      </c>
      <c r="G540" s="73">
        <f>D540*F540</f>
        <v>14127.13</v>
      </c>
      <c r="H540" s="77">
        <v>1</v>
      </c>
      <c r="I540" s="94"/>
      <c r="J540" s="28"/>
      <c r="K540" s="29"/>
      <c r="L540" s="28"/>
      <c r="M540" s="28"/>
      <c r="N540" s="28"/>
      <c r="O540" s="28"/>
      <c r="P540" s="28"/>
      <c r="Q540" s="28"/>
      <c r="R540" s="28"/>
      <c r="S540" s="28"/>
      <c r="T540" s="28"/>
    </row>
    <row r="541" s="31" customFormat="1" ht="409.5" customHeight="1" spans="1:20">
      <c r="A541" s="127"/>
      <c r="B541" s="75" t="s">
        <v>435</v>
      </c>
      <c r="C541" s="128"/>
      <c r="D541" s="85"/>
      <c r="E541" s="72"/>
      <c r="F541" s="72"/>
      <c r="G541" s="73"/>
      <c r="H541" s="77"/>
      <c r="I541" s="94"/>
      <c r="J541" s="28"/>
      <c r="K541" s="29"/>
      <c r="L541" s="28"/>
      <c r="M541" s="28"/>
      <c r="N541" s="28"/>
      <c r="O541" s="28"/>
      <c r="P541" s="28"/>
      <c r="Q541" s="28"/>
      <c r="R541" s="28"/>
      <c r="S541" s="28"/>
      <c r="T541" s="28"/>
    </row>
    <row r="542" s="31" customFormat="1" spans="1:20">
      <c r="A542" s="127"/>
      <c r="B542" s="75"/>
      <c r="C542" s="128"/>
      <c r="D542" s="85"/>
      <c r="E542" s="72"/>
      <c r="F542" s="72"/>
      <c r="G542" s="73"/>
      <c r="H542" s="77"/>
      <c r="I542" s="94"/>
      <c r="J542" s="28"/>
      <c r="K542" s="29"/>
      <c r="L542" s="28"/>
      <c r="M542" s="28"/>
      <c r="N542" s="28"/>
      <c r="O542" s="28"/>
      <c r="P542" s="28"/>
      <c r="Q542" s="28"/>
      <c r="R542" s="28"/>
      <c r="S542" s="28"/>
      <c r="T542" s="28"/>
    </row>
    <row r="543" s="31" customFormat="1" spans="1:20">
      <c r="A543" s="127"/>
      <c r="B543" s="75"/>
      <c r="C543" s="128"/>
      <c r="D543" s="85"/>
      <c r="E543" s="72"/>
      <c r="F543" s="72"/>
      <c r="G543" s="73"/>
      <c r="H543" s="77"/>
      <c r="I543" s="94"/>
      <c r="J543" s="28"/>
      <c r="K543" s="29"/>
      <c r="L543" s="28"/>
      <c r="M543" s="28"/>
      <c r="N543" s="28"/>
      <c r="O543" s="28"/>
      <c r="P543" s="28"/>
      <c r="Q543" s="28"/>
      <c r="R543" s="28"/>
      <c r="S543" s="28"/>
      <c r="T543" s="28"/>
    </row>
    <row r="544" s="31" customFormat="1" spans="1:20">
      <c r="A544" s="127"/>
      <c r="B544" s="75"/>
      <c r="C544" s="128"/>
      <c r="D544" s="85"/>
      <c r="E544" s="72"/>
      <c r="F544" s="72"/>
      <c r="G544" s="73"/>
      <c r="H544" s="77"/>
      <c r="I544" s="94"/>
      <c r="J544" s="28"/>
      <c r="K544" s="29"/>
      <c r="L544" s="28"/>
      <c r="M544" s="28"/>
      <c r="N544" s="28"/>
      <c r="O544" s="28"/>
      <c r="P544" s="28"/>
      <c r="Q544" s="28"/>
      <c r="R544" s="28"/>
      <c r="S544" s="28"/>
      <c r="T544" s="28"/>
    </row>
    <row r="545" s="31" customFormat="1" spans="1:20">
      <c r="A545" s="127"/>
      <c r="B545" s="75"/>
      <c r="C545" s="128"/>
      <c r="D545" s="85"/>
      <c r="E545" s="72"/>
      <c r="F545" s="72"/>
      <c r="G545" s="73"/>
      <c r="H545" s="77"/>
      <c r="I545" s="94"/>
      <c r="J545" s="28"/>
      <c r="K545" s="29"/>
      <c r="L545" s="28"/>
      <c r="M545" s="28"/>
      <c r="N545" s="28"/>
      <c r="O545" s="28"/>
      <c r="P545" s="28"/>
      <c r="Q545" s="28"/>
      <c r="R545" s="28"/>
      <c r="S545" s="28"/>
      <c r="T545" s="28"/>
    </row>
    <row r="546" s="31" customFormat="1" spans="1:20">
      <c r="A546" s="127"/>
      <c r="B546" s="75"/>
      <c r="C546" s="128"/>
      <c r="D546" s="85"/>
      <c r="E546" s="72"/>
      <c r="F546" s="72"/>
      <c r="G546" s="73"/>
      <c r="H546" s="77"/>
      <c r="I546" s="94"/>
      <c r="J546" s="28"/>
      <c r="K546" s="29"/>
      <c r="L546" s="28"/>
      <c r="M546" s="28"/>
      <c r="N546" s="28"/>
      <c r="O546" s="28"/>
      <c r="P546" s="28"/>
      <c r="Q546" s="28"/>
      <c r="R546" s="28"/>
      <c r="S546" s="28"/>
      <c r="T546" s="28"/>
    </row>
    <row r="547" s="31" customFormat="1" spans="1:20">
      <c r="A547" s="127"/>
      <c r="B547" s="75"/>
      <c r="C547" s="128"/>
      <c r="D547" s="85"/>
      <c r="E547" s="72"/>
      <c r="F547" s="72"/>
      <c r="G547" s="73"/>
      <c r="H547" s="77"/>
      <c r="I547" s="94"/>
      <c r="J547" s="28"/>
      <c r="K547" s="29"/>
      <c r="L547" s="28"/>
      <c r="M547" s="28"/>
      <c r="N547" s="28"/>
      <c r="O547" s="28"/>
      <c r="P547" s="28"/>
      <c r="Q547" s="28"/>
      <c r="R547" s="28"/>
      <c r="S547" s="28"/>
      <c r="T547" s="28"/>
    </row>
    <row r="548" s="31" customFormat="1" spans="1:20">
      <c r="A548" s="127"/>
      <c r="B548" s="75"/>
      <c r="C548" s="128"/>
      <c r="D548" s="85"/>
      <c r="E548" s="72"/>
      <c r="F548" s="72"/>
      <c r="G548" s="73"/>
      <c r="H548" s="77"/>
      <c r="I548" s="94"/>
      <c r="J548" s="28"/>
      <c r="K548" s="29"/>
      <c r="L548" s="28"/>
      <c r="M548" s="28"/>
      <c r="N548" s="28"/>
      <c r="O548" s="28"/>
      <c r="P548" s="28"/>
      <c r="Q548" s="28"/>
      <c r="R548" s="28"/>
      <c r="S548" s="28"/>
      <c r="T548" s="28"/>
    </row>
    <row r="549" s="31" customFormat="1" spans="1:20">
      <c r="A549" s="127"/>
      <c r="B549" s="75"/>
      <c r="C549" s="128"/>
      <c r="D549" s="85"/>
      <c r="E549" s="72"/>
      <c r="F549" s="72"/>
      <c r="G549" s="73"/>
      <c r="H549" s="77"/>
      <c r="I549" s="94"/>
      <c r="J549" s="28"/>
      <c r="K549" s="29"/>
      <c r="L549" s="28"/>
      <c r="M549" s="28"/>
      <c r="N549" s="28"/>
      <c r="O549" s="28"/>
      <c r="P549" s="28"/>
      <c r="Q549" s="28"/>
      <c r="R549" s="28"/>
      <c r="S549" s="28"/>
      <c r="T549" s="28"/>
    </row>
    <row r="550" s="31" customFormat="1" spans="1:20">
      <c r="A550" s="69"/>
      <c r="B550" s="75"/>
      <c r="C550" s="71"/>
      <c r="D550" s="85"/>
      <c r="E550" s="72"/>
      <c r="F550" s="72"/>
      <c r="G550" s="73"/>
      <c r="H550" s="77"/>
      <c r="I550" s="94"/>
      <c r="J550" s="28"/>
      <c r="K550" s="29"/>
      <c r="L550" s="28"/>
      <c r="M550" s="28"/>
      <c r="N550" s="28"/>
      <c r="O550" s="28"/>
      <c r="P550" s="28"/>
      <c r="Q550" s="28"/>
      <c r="R550" s="28"/>
      <c r="S550" s="28"/>
      <c r="T550" s="28"/>
    </row>
    <row r="551" s="31" customFormat="1" ht="51" customHeight="1" spans="1:20">
      <c r="A551" s="69" t="s">
        <v>436</v>
      </c>
      <c r="B551" s="70" t="s">
        <v>437</v>
      </c>
      <c r="C551" s="71" t="s">
        <v>89</v>
      </c>
      <c r="D551" s="85">
        <f>(18.6+3.02)*(11.2+1.2+1.2)*0.05</f>
        <v>14.7016</v>
      </c>
      <c r="E551" s="72">
        <v>140.47</v>
      </c>
      <c r="F551" s="72">
        <f>IF(E551="","",ROUND(E551+(E551*$D$4),2))</f>
        <v>172.61</v>
      </c>
      <c r="G551" s="73">
        <f>D551*F551</f>
        <v>2537.643176</v>
      </c>
      <c r="H551" s="77" t="s">
        <v>438</v>
      </c>
      <c r="I551" s="94" t="s">
        <v>439</v>
      </c>
      <c r="J551" s="28"/>
      <c r="K551" s="29"/>
      <c r="L551" s="28"/>
      <c r="M551" s="28"/>
      <c r="N551" s="28"/>
      <c r="O551" s="28"/>
      <c r="P551" s="28"/>
      <c r="Q551" s="28"/>
      <c r="R551" s="28"/>
      <c r="S551" s="28"/>
      <c r="T551" s="28"/>
    </row>
    <row r="552" s="31" customFormat="1" ht="104.25" customHeight="1" spans="1:20">
      <c r="A552" s="69"/>
      <c r="B552" s="75" t="s">
        <v>440</v>
      </c>
      <c r="C552" s="71"/>
      <c r="D552" s="85"/>
      <c r="E552" s="72"/>
      <c r="F552" s="72"/>
      <c r="G552" s="73"/>
      <c r="H552" s="77"/>
      <c r="I552" s="94"/>
      <c r="J552" s="28"/>
      <c r="K552" s="29"/>
      <c r="L552" s="28"/>
      <c r="M552" s="28"/>
      <c r="N552" s="28"/>
      <c r="O552" s="28"/>
      <c r="P552" s="28"/>
      <c r="Q552" s="28"/>
      <c r="R552" s="28"/>
      <c r="S552" s="28"/>
      <c r="T552" s="28"/>
    </row>
    <row r="553" s="31" customFormat="1" spans="1:20">
      <c r="A553" s="69"/>
      <c r="B553" s="75"/>
      <c r="C553" s="71"/>
      <c r="D553" s="85"/>
      <c r="E553" s="72"/>
      <c r="F553" s="72"/>
      <c r="G553" s="73"/>
      <c r="H553" s="77"/>
      <c r="I553" s="94"/>
      <c r="J553" s="28"/>
      <c r="K553" s="29"/>
      <c r="L553" s="28"/>
      <c r="M553" s="28"/>
      <c r="N553" s="28"/>
      <c r="O553" s="28"/>
      <c r="P553" s="28"/>
      <c r="Q553" s="28"/>
      <c r="R553" s="28"/>
      <c r="S553" s="28"/>
      <c r="T553" s="28"/>
    </row>
    <row r="554" s="31" customFormat="1" spans="1:20">
      <c r="A554" s="69"/>
      <c r="B554" s="75"/>
      <c r="C554" s="71"/>
      <c r="D554" s="85"/>
      <c r="E554" s="72"/>
      <c r="F554" s="72"/>
      <c r="G554" s="73"/>
      <c r="H554" s="77"/>
      <c r="I554" s="94"/>
      <c r="J554" s="28"/>
      <c r="K554" s="29"/>
      <c r="L554" s="28"/>
      <c r="M554" s="28"/>
      <c r="N554" s="28"/>
      <c r="O554" s="28"/>
      <c r="P554" s="28"/>
      <c r="Q554" s="28"/>
      <c r="R554" s="28"/>
      <c r="S554" s="28"/>
      <c r="T554" s="28"/>
    </row>
    <row r="555" s="31" customFormat="1" ht="31.5" spans="1:20">
      <c r="A555" s="69" t="s">
        <v>441</v>
      </c>
      <c r="B555" s="70" t="s">
        <v>442</v>
      </c>
      <c r="C555" s="71" t="s">
        <v>74</v>
      </c>
      <c r="D555" s="85">
        <f>(18.6+3.02)*(11.2+1.2+1.2)*2.2</f>
        <v>646.8704</v>
      </c>
      <c r="E555" s="72">
        <v>24.2</v>
      </c>
      <c r="F555" s="72">
        <f>IF(E555="","",ROUND(E555+(E555*$D$4),2))</f>
        <v>29.74</v>
      </c>
      <c r="G555" s="73">
        <f>D555*F555</f>
        <v>19237.925696</v>
      </c>
      <c r="H555" s="85" t="s">
        <v>443</v>
      </c>
      <c r="I555" s="94" t="s">
        <v>444</v>
      </c>
      <c r="J555" s="28"/>
      <c r="K555" s="29"/>
      <c r="L555" s="28"/>
      <c r="M555" s="28"/>
      <c r="N555" s="28"/>
      <c r="O555" s="28"/>
      <c r="P555" s="28"/>
      <c r="Q555" s="28"/>
      <c r="R555" s="28"/>
      <c r="S555" s="28"/>
      <c r="T555" s="28"/>
    </row>
    <row r="556" s="31" customFormat="1" ht="63" spans="1:20">
      <c r="A556" s="69"/>
      <c r="B556" s="75" t="s">
        <v>445</v>
      </c>
      <c r="C556" s="71"/>
      <c r="D556" s="85"/>
      <c r="E556" s="72"/>
      <c r="F556" s="72"/>
      <c r="G556" s="73"/>
      <c r="H556" s="77"/>
      <c r="I556" s="94"/>
      <c r="J556" s="28"/>
      <c r="K556" s="29"/>
      <c r="L556" s="28"/>
      <c r="M556" s="28"/>
      <c r="N556" s="28"/>
      <c r="O556" s="28"/>
      <c r="P556" s="28"/>
      <c r="Q556" s="28"/>
      <c r="R556" s="28"/>
      <c r="S556" s="28"/>
      <c r="T556" s="28"/>
    </row>
    <row r="557" s="31" customFormat="1" spans="1:20">
      <c r="A557" s="69"/>
      <c r="B557" s="75"/>
      <c r="C557" s="71"/>
      <c r="D557" s="85"/>
      <c r="E557" s="72"/>
      <c r="F557" s="72"/>
      <c r="G557" s="73"/>
      <c r="H557" s="77"/>
      <c r="I557" s="94"/>
      <c r="J557" s="28"/>
      <c r="K557" s="29"/>
      <c r="L557" s="28"/>
      <c r="M557" s="28"/>
      <c r="N557" s="28"/>
      <c r="O557" s="28"/>
      <c r="P557" s="28"/>
      <c r="Q557" s="28"/>
      <c r="R557" s="28"/>
      <c r="S557" s="28"/>
      <c r="T557" s="28"/>
    </row>
    <row r="558" s="31" customFormat="1" spans="1:20">
      <c r="A558" s="69"/>
      <c r="B558" s="75"/>
      <c r="C558" s="71"/>
      <c r="D558" s="85"/>
      <c r="E558" s="72"/>
      <c r="F558" s="72"/>
      <c r="G558" s="73"/>
      <c r="H558" s="77"/>
      <c r="I558" s="94"/>
      <c r="J558" s="28"/>
      <c r="K558" s="29"/>
      <c r="L558" s="28"/>
      <c r="M558" s="28"/>
      <c r="N558" s="28"/>
      <c r="O558" s="28"/>
      <c r="P558" s="28"/>
      <c r="Q558" s="28"/>
      <c r="R558" s="28"/>
      <c r="S558" s="28"/>
      <c r="T558" s="28"/>
    </row>
    <row r="559" s="31" customFormat="1" ht="47.25" spans="1:20">
      <c r="A559" s="69" t="s">
        <v>446</v>
      </c>
      <c r="B559" s="70" t="s">
        <v>447</v>
      </c>
      <c r="C559" s="71" t="s">
        <v>89</v>
      </c>
      <c r="D559" s="85">
        <f>(18.6+3.02)*(11.2+1.2+1.2)*0.08</f>
        <v>23.52256</v>
      </c>
      <c r="E559" s="72">
        <v>643.57</v>
      </c>
      <c r="F559" s="72">
        <f>IF(E559="","",ROUND(E559+(E559*$D$4),2))</f>
        <v>790.82</v>
      </c>
      <c r="G559" s="73">
        <f>D559*F559</f>
        <v>18602.1108992</v>
      </c>
      <c r="H559" s="77" t="s">
        <v>448</v>
      </c>
      <c r="I559" s="94" t="s">
        <v>449</v>
      </c>
      <c r="J559" s="28"/>
      <c r="K559" s="29"/>
      <c r="L559" s="28"/>
      <c r="M559" s="28"/>
      <c r="N559" s="28"/>
      <c r="O559" s="28"/>
      <c r="P559" s="28"/>
      <c r="Q559" s="28"/>
      <c r="R559" s="28"/>
      <c r="S559" s="28"/>
      <c r="T559" s="28"/>
    </row>
    <row r="560" s="31" customFormat="1" ht="141.75" spans="1:20">
      <c r="A560" s="69"/>
      <c r="B560" s="75" t="s">
        <v>450</v>
      </c>
      <c r="C560" s="71"/>
      <c r="D560" s="85"/>
      <c r="E560" s="72"/>
      <c r="F560" s="72"/>
      <c r="G560" s="73"/>
      <c r="H560" s="109"/>
      <c r="I560" s="94"/>
      <c r="J560" s="28"/>
      <c r="K560" s="29"/>
      <c r="L560" s="28"/>
      <c r="M560" s="28"/>
      <c r="N560" s="28"/>
      <c r="O560" s="28"/>
      <c r="P560" s="28"/>
      <c r="Q560" s="28"/>
      <c r="R560" s="28"/>
      <c r="S560" s="28"/>
      <c r="T560" s="28"/>
    </row>
    <row r="561" s="31" customFormat="1" spans="1:20">
      <c r="A561" s="69"/>
      <c r="B561" s="75"/>
      <c r="C561" s="71"/>
      <c r="D561" s="85"/>
      <c r="E561" s="72"/>
      <c r="F561" s="72"/>
      <c r="G561" s="73"/>
      <c r="H561" s="109"/>
      <c r="I561" s="94"/>
      <c r="J561" s="28"/>
      <c r="K561" s="29"/>
      <c r="L561" s="28"/>
      <c r="M561" s="28"/>
      <c r="N561" s="28"/>
      <c r="O561" s="28"/>
      <c r="P561" s="28"/>
      <c r="Q561" s="28"/>
      <c r="R561" s="28"/>
      <c r="S561" s="28"/>
      <c r="T561" s="28"/>
    </row>
    <row r="562" s="31" customFormat="1" spans="1:20">
      <c r="A562" s="69"/>
      <c r="B562" s="75"/>
      <c r="C562" s="71"/>
      <c r="D562" s="85"/>
      <c r="E562" s="72"/>
      <c r="F562" s="72"/>
      <c r="G562" s="73"/>
      <c r="H562" s="109"/>
      <c r="I562" s="94"/>
      <c r="J562" s="28"/>
      <c r="K562" s="29"/>
      <c r="L562" s="28"/>
      <c r="M562" s="28"/>
      <c r="N562" s="28"/>
      <c r="O562" s="28"/>
      <c r="P562" s="28"/>
      <c r="Q562" s="28"/>
      <c r="R562" s="28"/>
      <c r="S562" s="28"/>
      <c r="T562" s="28"/>
    </row>
    <row r="563" s="31" customFormat="1" spans="1:20">
      <c r="A563" s="69"/>
      <c r="B563" s="75"/>
      <c r="C563" s="71"/>
      <c r="D563" s="85"/>
      <c r="E563" s="72"/>
      <c r="F563" s="72"/>
      <c r="G563" s="73"/>
      <c r="H563" s="109"/>
      <c r="I563" s="94"/>
      <c r="J563" s="28"/>
      <c r="K563" s="29"/>
      <c r="L563" s="28"/>
      <c r="M563" s="28"/>
      <c r="N563" s="28"/>
      <c r="O563" s="28"/>
      <c r="P563" s="28"/>
      <c r="Q563" s="28"/>
      <c r="R563" s="28"/>
      <c r="S563" s="28"/>
      <c r="T563" s="28"/>
    </row>
    <row r="564" s="31" customFormat="1" spans="1:20">
      <c r="A564" s="69"/>
      <c r="B564" s="75"/>
      <c r="C564" s="71"/>
      <c r="D564" s="85"/>
      <c r="E564" s="72"/>
      <c r="F564" s="72"/>
      <c r="G564" s="73"/>
      <c r="H564" s="109"/>
      <c r="I564" s="94"/>
      <c r="J564" s="28"/>
      <c r="K564" s="29"/>
      <c r="L564" s="28"/>
      <c r="M564" s="28"/>
      <c r="N564" s="28"/>
      <c r="O564" s="28"/>
      <c r="P564" s="28"/>
      <c r="Q564" s="28"/>
      <c r="R564" s="28"/>
      <c r="S564" s="28"/>
      <c r="T564" s="28"/>
    </row>
    <row r="565" s="31" customFormat="1" spans="1:20">
      <c r="A565" s="69"/>
      <c r="B565" s="75"/>
      <c r="C565" s="71"/>
      <c r="D565" s="85"/>
      <c r="E565" s="72"/>
      <c r="F565" s="72"/>
      <c r="G565" s="73"/>
      <c r="H565" s="109"/>
      <c r="I565" s="94"/>
      <c r="J565" s="28"/>
      <c r="K565" s="29"/>
      <c r="L565" s="28"/>
      <c r="M565" s="28"/>
      <c r="N565" s="28"/>
      <c r="O565" s="28"/>
      <c r="P565" s="28"/>
      <c r="Q565" s="28"/>
      <c r="R565" s="28"/>
      <c r="S565" s="28"/>
      <c r="T565" s="28"/>
    </row>
    <row r="566" s="31" customFormat="1" spans="1:20">
      <c r="A566" s="69"/>
      <c r="B566" s="75"/>
      <c r="C566" s="71"/>
      <c r="D566" s="85"/>
      <c r="E566" s="72"/>
      <c r="F566" s="72"/>
      <c r="G566" s="73"/>
      <c r="H566" s="109"/>
      <c r="I566" s="94"/>
      <c r="J566" s="28"/>
      <c r="K566" s="29"/>
      <c r="L566" s="28"/>
      <c r="M566" s="28"/>
      <c r="N566" s="28"/>
      <c r="O566" s="28"/>
      <c r="P566" s="28"/>
      <c r="Q566" s="28"/>
      <c r="R566" s="28"/>
      <c r="S566" s="28"/>
      <c r="T566" s="28"/>
    </row>
    <row r="567" s="31" customFormat="1" spans="1:20">
      <c r="A567" s="69"/>
      <c r="B567" s="75"/>
      <c r="C567" s="71"/>
      <c r="D567" s="85"/>
      <c r="E567" s="72"/>
      <c r="F567" s="72"/>
      <c r="G567" s="73"/>
      <c r="H567" s="109"/>
      <c r="I567" s="94"/>
      <c r="J567" s="28"/>
      <c r="K567" s="29"/>
      <c r="L567" s="28"/>
      <c r="M567" s="28"/>
      <c r="N567" s="28"/>
      <c r="O567" s="28"/>
      <c r="P567" s="28"/>
      <c r="Q567" s="28"/>
      <c r="R567" s="28"/>
      <c r="S567" s="28"/>
      <c r="T567" s="28"/>
    </row>
    <row r="568" s="31" customFormat="1" ht="94.5" spans="1:20">
      <c r="A568" s="69" t="s">
        <v>451</v>
      </c>
      <c r="B568" s="70" t="s">
        <v>452</v>
      </c>
      <c r="C568" s="71" t="s">
        <v>21</v>
      </c>
      <c r="D568" s="85">
        <f>18*28+4.78*2.22</f>
        <v>514.6116</v>
      </c>
      <c r="E568" s="72">
        <v>20</v>
      </c>
      <c r="F568" s="72">
        <f>IF(E568="","",ROUND(E568+(E568*$D$4),2))</f>
        <v>24.58</v>
      </c>
      <c r="G568" s="73">
        <f>D568*F568</f>
        <v>12649.153128</v>
      </c>
      <c r="H568" s="109" t="s">
        <v>453</v>
      </c>
      <c r="I568" s="94" t="s">
        <v>454</v>
      </c>
      <c r="J568" s="28"/>
      <c r="K568" s="29"/>
      <c r="L568" s="28"/>
      <c r="M568" s="28"/>
      <c r="N568" s="28"/>
      <c r="O568" s="28"/>
      <c r="P568" s="28"/>
      <c r="Q568" s="28"/>
      <c r="R568" s="28"/>
      <c r="S568" s="28"/>
      <c r="T568" s="28"/>
    </row>
    <row r="569" s="31" customFormat="1" ht="47.25" spans="1:20">
      <c r="A569" s="69"/>
      <c r="B569" s="75" t="s">
        <v>455</v>
      </c>
      <c r="C569" s="71"/>
      <c r="D569" s="85"/>
      <c r="E569" s="72"/>
      <c r="F569" s="72"/>
      <c r="G569" s="73"/>
      <c r="H569" s="77"/>
      <c r="I569" s="94"/>
      <c r="J569" s="28"/>
      <c r="K569" s="29"/>
      <c r="L569" s="28"/>
      <c r="M569" s="28"/>
      <c r="N569" s="28"/>
      <c r="O569" s="28"/>
      <c r="P569" s="28"/>
      <c r="Q569" s="28"/>
      <c r="R569" s="28"/>
      <c r="S569" s="28"/>
      <c r="T569" s="28"/>
    </row>
    <row r="570" s="31" customFormat="1" spans="1:20">
      <c r="A570" s="69"/>
      <c r="B570" s="75"/>
      <c r="C570" s="71"/>
      <c r="D570" s="85"/>
      <c r="E570" s="72"/>
      <c r="F570" s="72"/>
      <c r="G570" s="73"/>
      <c r="H570" s="77"/>
      <c r="I570" s="94"/>
      <c r="J570" s="28"/>
      <c r="K570" s="29"/>
      <c r="L570" s="28"/>
      <c r="M570" s="28"/>
      <c r="N570" s="28"/>
      <c r="O570" s="28"/>
      <c r="P570" s="28"/>
      <c r="Q570" s="28"/>
      <c r="R570" s="28"/>
      <c r="S570" s="28"/>
      <c r="T570" s="28"/>
    </row>
    <row r="571" s="31" customFormat="1" ht="72" customHeight="1" spans="1:20">
      <c r="A571" s="69" t="s">
        <v>456</v>
      </c>
      <c r="B571" s="70" t="s">
        <v>457</v>
      </c>
      <c r="C571" s="71" t="s">
        <v>21</v>
      </c>
      <c r="D571" s="85">
        <f>18*28</f>
        <v>504</v>
      </c>
      <c r="E571" s="72">
        <v>202.12</v>
      </c>
      <c r="F571" s="72">
        <f>IF(E571="","",ROUND(E571+(E571*$D$4),2))</f>
        <v>248.37</v>
      </c>
      <c r="G571" s="73">
        <f>D571*F571</f>
        <v>125178.48</v>
      </c>
      <c r="H571" s="77" t="s">
        <v>458</v>
      </c>
      <c r="I571" s="94" t="s">
        <v>23</v>
      </c>
      <c r="J571" s="28"/>
      <c r="K571" s="29"/>
      <c r="L571" s="28"/>
      <c r="M571" s="28"/>
      <c r="N571" s="28"/>
      <c r="O571" s="28"/>
      <c r="P571" s="28"/>
      <c r="Q571" s="28"/>
      <c r="R571" s="28"/>
      <c r="S571" s="28"/>
      <c r="T571" s="28"/>
    </row>
    <row r="572" s="31" customFormat="1" ht="126" spans="1:20">
      <c r="A572" s="69"/>
      <c r="B572" s="115" t="s">
        <v>459</v>
      </c>
      <c r="C572" s="71"/>
      <c r="D572" s="85"/>
      <c r="E572" s="72"/>
      <c r="F572" s="72"/>
      <c r="G572" s="73"/>
      <c r="H572" s="77"/>
      <c r="I572" s="94"/>
      <c r="J572" s="28"/>
      <c r="K572" s="29"/>
      <c r="L572" s="28"/>
      <c r="M572" s="28"/>
      <c r="N572" s="28"/>
      <c r="O572" s="28"/>
      <c r="P572" s="28"/>
      <c r="Q572" s="28"/>
      <c r="R572" s="28"/>
      <c r="S572" s="28"/>
      <c r="T572" s="28"/>
    </row>
    <row r="573" s="31" customFormat="1" spans="1:20">
      <c r="A573" s="69"/>
      <c r="B573" s="115"/>
      <c r="C573" s="71"/>
      <c r="D573" s="85"/>
      <c r="E573" s="72"/>
      <c r="F573" s="72"/>
      <c r="G573" s="73"/>
      <c r="H573" s="77"/>
      <c r="I573" s="94"/>
      <c r="J573" s="28"/>
      <c r="K573" s="29"/>
      <c r="L573" s="28"/>
      <c r="M573" s="28"/>
      <c r="N573" s="28"/>
      <c r="O573" s="28"/>
      <c r="P573" s="28"/>
      <c r="Q573" s="28"/>
      <c r="R573" s="28"/>
      <c r="S573" s="28"/>
      <c r="T573" s="28"/>
    </row>
    <row r="574" s="31" customFormat="1" spans="1:20">
      <c r="A574" s="69"/>
      <c r="B574" s="75"/>
      <c r="C574" s="71"/>
      <c r="D574" s="85"/>
      <c r="E574" s="72"/>
      <c r="F574" s="72"/>
      <c r="G574" s="73"/>
      <c r="H574" s="77"/>
      <c r="I574" s="94"/>
      <c r="J574" s="28"/>
      <c r="K574" s="29"/>
      <c r="L574" s="28"/>
      <c r="M574" s="28"/>
      <c r="N574" s="28"/>
      <c r="O574" s="28"/>
      <c r="P574" s="28"/>
      <c r="Q574" s="28"/>
      <c r="R574" s="28"/>
      <c r="S574" s="28"/>
      <c r="T574" s="28"/>
    </row>
    <row r="575" s="31" customFormat="1" ht="86.25" customHeight="1" spans="1:20">
      <c r="A575" s="69" t="s">
        <v>460</v>
      </c>
      <c r="B575" s="78" t="s">
        <v>461</v>
      </c>
      <c r="C575" s="71" t="s">
        <v>21</v>
      </c>
      <c r="D575" s="85">
        <f>18*28*1.034+28*2*2+18*3.1*2</f>
        <v>744.736</v>
      </c>
      <c r="E575" s="72">
        <v>91.59</v>
      </c>
      <c r="F575" s="72">
        <f>IF(E575="","",ROUND(E575+(E575*$D$4),2))</f>
        <v>112.55</v>
      </c>
      <c r="G575" s="73">
        <f>D575*F575</f>
        <v>83820.0368</v>
      </c>
      <c r="H575" s="77" t="s">
        <v>462</v>
      </c>
      <c r="I575" s="94" t="s">
        <v>463</v>
      </c>
      <c r="J575" s="28"/>
      <c r="K575" s="29"/>
      <c r="L575" s="28"/>
      <c r="M575" s="28"/>
      <c r="N575" s="28"/>
      <c r="O575" s="28"/>
      <c r="P575" s="28"/>
      <c r="Q575" s="28"/>
      <c r="R575" s="28"/>
      <c r="S575" s="28"/>
      <c r="T575" s="28"/>
    </row>
    <row r="576" s="31" customFormat="1" ht="117" customHeight="1" spans="1:20">
      <c r="A576" s="69"/>
      <c r="B576" s="115" t="s">
        <v>464</v>
      </c>
      <c r="C576" s="71"/>
      <c r="D576" s="85"/>
      <c r="E576" s="72"/>
      <c r="F576" s="72"/>
      <c r="G576" s="73"/>
      <c r="H576" s="77"/>
      <c r="I576" s="94"/>
      <c r="J576" s="28"/>
      <c r="K576" s="29"/>
      <c r="L576" s="28"/>
      <c r="M576" s="28"/>
      <c r="N576" s="28"/>
      <c r="O576" s="28"/>
      <c r="P576" s="28"/>
      <c r="Q576" s="28"/>
      <c r="R576" s="28"/>
      <c r="S576" s="28"/>
      <c r="T576" s="28"/>
    </row>
    <row r="577" s="31" customFormat="1" spans="1:20">
      <c r="A577" s="69"/>
      <c r="B577" s="75"/>
      <c r="C577" s="71"/>
      <c r="D577" s="85"/>
      <c r="E577" s="72"/>
      <c r="F577" s="72"/>
      <c r="G577" s="73"/>
      <c r="H577" s="77"/>
      <c r="I577" s="94"/>
      <c r="J577" s="28"/>
      <c r="K577" s="29"/>
      <c r="L577" s="28"/>
      <c r="M577" s="28"/>
      <c r="N577" s="28"/>
      <c r="O577" s="28"/>
      <c r="P577" s="28"/>
      <c r="Q577" s="28"/>
      <c r="R577" s="28"/>
      <c r="S577" s="28"/>
      <c r="T577" s="28"/>
    </row>
    <row r="578" s="31" customFormat="1" spans="1:20">
      <c r="A578" s="69"/>
      <c r="B578" s="86"/>
      <c r="C578" s="81" t="s">
        <v>41</v>
      </c>
      <c r="D578" s="81"/>
      <c r="E578" s="81"/>
      <c r="F578" s="81"/>
      <c r="G578" s="82">
        <f>SUM(G481:G577)</f>
        <v>379020.2447592</v>
      </c>
      <c r="H578" s="77"/>
      <c r="I578" s="94"/>
      <c r="J578" s="28"/>
      <c r="K578" s="29"/>
      <c r="L578" s="28"/>
      <c r="M578" s="28"/>
      <c r="N578" s="28"/>
      <c r="O578" s="28"/>
      <c r="P578" s="28"/>
      <c r="Q578" s="28"/>
      <c r="R578" s="28"/>
      <c r="S578" s="28"/>
      <c r="T578" s="28"/>
    </row>
    <row r="579" s="31" customFormat="1" spans="1:20">
      <c r="A579" s="69" t="s">
        <v>465</v>
      </c>
      <c r="B579" s="83" t="s">
        <v>466</v>
      </c>
      <c r="C579" s="84"/>
      <c r="D579" s="85"/>
      <c r="E579" s="87"/>
      <c r="F579" s="87"/>
      <c r="G579" s="73"/>
      <c r="H579" s="77"/>
      <c r="I579" s="94"/>
      <c r="J579" s="28"/>
      <c r="K579" s="29"/>
      <c r="L579" s="28"/>
      <c r="M579" s="28"/>
      <c r="N579" s="28"/>
      <c r="O579" s="28"/>
      <c r="P579" s="28"/>
      <c r="Q579" s="28"/>
      <c r="R579" s="28"/>
      <c r="S579" s="28"/>
      <c r="T579" s="28"/>
    </row>
    <row r="580" s="31" customFormat="1" spans="1:20">
      <c r="A580" s="69" t="s">
        <v>467</v>
      </c>
      <c r="B580" s="99" t="s">
        <v>468</v>
      </c>
      <c r="C580" s="84"/>
      <c r="D580" s="85"/>
      <c r="E580" s="72"/>
      <c r="F580" s="72"/>
      <c r="G580" s="73"/>
      <c r="H580" s="77"/>
      <c r="I580" s="94"/>
      <c r="J580" s="28"/>
      <c r="K580" s="29"/>
      <c r="L580" s="28"/>
      <c r="M580" s="28"/>
      <c r="N580" s="28"/>
      <c r="O580" s="28"/>
      <c r="P580" s="28"/>
      <c r="Q580" s="28"/>
      <c r="R580" s="28"/>
      <c r="S580" s="28"/>
      <c r="T580" s="28"/>
    </row>
    <row r="581" s="31" customFormat="1" ht="18" customHeight="1" spans="1:20">
      <c r="A581" s="69" t="s">
        <v>469</v>
      </c>
      <c r="B581" s="70" t="s">
        <v>470</v>
      </c>
      <c r="C581" s="71" t="s">
        <v>21</v>
      </c>
      <c r="D581" s="85">
        <f>18*28</f>
        <v>504</v>
      </c>
      <c r="E581" s="72">
        <v>6.43</v>
      </c>
      <c r="F581" s="72">
        <f>IF(E581="","",ROUND(E581+(E581*$D$4),2))</f>
        <v>7.9</v>
      </c>
      <c r="G581" s="73">
        <f>D581*F581</f>
        <v>3981.6</v>
      </c>
      <c r="H581" s="77" t="s">
        <v>458</v>
      </c>
      <c r="I581" s="94"/>
      <c r="J581" s="28"/>
      <c r="K581" s="29"/>
      <c r="L581" s="28"/>
      <c r="M581" s="28"/>
      <c r="N581" s="28"/>
      <c r="O581" s="28"/>
      <c r="P581" s="28"/>
      <c r="Q581" s="28"/>
      <c r="R581" s="28"/>
      <c r="S581" s="28"/>
      <c r="T581" s="28"/>
    </row>
    <row r="582" s="31" customFormat="1" ht="63" spans="1:20">
      <c r="A582" s="69"/>
      <c r="B582" s="75" t="s">
        <v>471</v>
      </c>
      <c r="C582" s="71"/>
      <c r="D582" s="85"/>
      <c r="E582" s="72"/>
      <c r="F582" s="72"/>
      <c r="G582" s="73"/>
      <c r="H582" s="77"/>
      <c r="I582" s="94"/>
      <c r="J582" s="28"/>
      <c r="K582" s="29"/>
      <c r="L582" s="28"/>
      <c r="M582" s="28"/>
      <c r="N582" s="28"/>
      <c r="O582" s="28"/>
      <c r="P582" s="28"/>
      <c r="Q582" s="28"/>
      <c r="R582" s="28"/>
      <c r="S582" s="28"/>
      <c r="T582" s="28"/>
    </row>
    <row r="583" s="31" customFormat="1" spans="1:20">
      <c r="A583" s="69"/>
      <c r="B583" s="75"/>
      <c r="C583" s="71"/>
      <c r="D583" s="85"/>
      <c r="E583" s="72"/>
      <c r="F583" s="72"/>
      <c r="G583" s="73"/>
      <c r="H583" s="77"/>
      <c r="I583" s="94"/>
      <c r="J583" s="28"/>
      <c r="K583" s="29"/>
      <c r="L583" s="28"/>
      <c r="M583" s="28"/>
      <c r="N583" s="28"/>
      <c r="O583" s="28"/>
      <c r="P583" s="28"/>
      <c r="Q583" s="28"/>
      <c r="R583" s="28"/>
      <c r="S583" s="28"/>
      <c r="T583" s="28"/>
    </row>
    <row r="584" s="31" customFormat="1" spans="1:20">
      <c r="A584" s="69"/>
      <c r="B584" s="75"/>
      <c r="C584" s="71"/>
      <c r="D584" s="85"/>
      <c r="E584" s="72"/>
      <c r="F584" s="72"/>
      <c r="G584" s="73"/>
      <c r="H584" s="77"/>
      <c r="I584" s="94"/>
      <c r="J584" s="28"/>
      <c r="K584" s="29"/>
      <c r="L584" s="28"/>
      <c r="M584" s="28"/>
      <c r="N584" s="28"/>
      <c r="O584" s="28"/>
      <c r="P584" s="28"/>
      <c r="Q584" s="28"/>
      <c r="R584" s="28"/>
      <c r="S584" s="28"/>
      <c r="T584" s="28"/>
    </row>
    <row r="585" s="31" customFormat="1" spans="1:20">
      <c r="A585" s="69"/>
      <c r="B585" s="75"/>
      <c r="C585" s="71"/>
      <c r="D585" s="85"/>
      <c r="E585" s="72"/>
      <c r="F585" s="72"/>
      <c r="G585" s="73"/>
      <c r="H585" s="77"/>
      <c r="I585" s="94"/>
      <c r="J585" s="28"/>
      <c r="K585" s="29"/>
      <c r="L585" s="28"/>
      <c r="M585" s="28"/>
      <c r="N585" s="28"/>
      <c r="O585" s="28"/>
      <c r="P585" s="28"/>
      <c r="Q585" s="28"/>
      <c r="R585" s="28"/>
      <c r="S585" s="28"/>
      <c r="T585" s="28"/>
    </row>
    <row r="586" s="31" customFormat="1" spans="1:20">
      <c r="A586" s="69"/>
      <c r="B586" s="99"/>
      <c r="C586" s="71"/>
      <c r="D586" s="59"/>
      <c r="E586" s="72"/>
      <c r="F586" s="72"/>
      <c r="G586" s="73"/>
      <c r="H586" s="77"/>
      <c r="I586" s="94"/>
      <c r="J586" s="28"/>
      <c r="K586" s="29"/>
      <c r="L586" s="28"/>
      <c r="M586" s="28"/>
      <c r="N586" s="28"/>
      <c r="O586" s="28"/>
      <c r="P586" s="28"/>
      <c r="Q586" s="28"/>
      <c r="R586" s="28"/>
      <c r="S586" s="28"/>
      <c r="T586" s="28"/>
    </row>
    <row r="587" s="31" customFormat="1" ht="42.75" customHeight="1" spans="1:20">
      <c r="A587" s="69" t="s">
        <v>472</v>
      </c>
      <c r="B587" s="70" t="s">
        <v>473</v>
      </c>
      <c r="C587" s="71" t="s">
        <v>89</v>
      </c>
      <c r="D587" s="85">
        <v>40</v>
      </c>
      <c r="E587" s="72">
        <v>48</v>
      </c>
      <c r="F587" s="72">
        <f>IF(E587="","",ROUND(E587+(E587*$D$4),2))</f>
        <v>58.98</v>
      </c>
      <c r="G587" s="73">
        <f>D587*F587</f>
        <v>2359.2</v>
      </c>
      <c r="H587" s="77">
        <v>40</v>
      </c>
      <c r="I587" s="94"/>
      <c r="J587" s="28"/>
      <c r="K587" s="29"/>
      <c r="L587" s="28"/>
      <c r="M587" s="28"/>
      <c r="N587" s="28"/>
      <c r="O587" s="28"/>
      <c r="P587" s="28"/>
      <c r="Q587" s="28"/>
      <c r="R587" s="28"/>
      <c r="S587" s="28"/>
      <c r="T587" s="28"/>
    </row>
    <row r="588" s="31" customFormat="1" spans="1:20">
      <c r="A588" s="69"/>
      <c r="B588" s="75"/>
      <c r="C588" s="71"/>
      <c r="D588" s="85"/>
      <c r="E588" s="72"/>
      <c r="F588" s="72"/>
      <c r="G588" s="73"/>
      <c r="H588" s="77"/>
      <c r="I588" s="94"/>
      <c r="J588" s="28"/>
      <c r="K588" s="29"/>
      <c r="L588" s="28"/>
      <c r="M588" s="28"/>
      <c r="N588" s="28"/>
      <c r="O588" s="28"/>
      <c r="P588" s="28"/>
      <c r="Q588" s="28"/>
      <c r="R588" s="28"/>
      <c r="S588" s="28"/>
      <c r="T588" s="28"/>
    </row>
    <row r="589" s="31" customFormat="1" spans="1:20">
      <c r="A589" s="129"/>
      <c r="B589" s="130"/>
      <c r="C589" s="81" t="s">
        <v>41</v>
      </c>
      <c r="D589" s="81"/>
      <c r="E589" s="81"/>
      <c r="F589" s="81"/>
      <c r="G589" s="82">
        <f>SUM(G580:G588)</f>
        <v>6340.8</v>
      </c>
      <c r="H589" s="77"/>
      <c r="I589" s="94"/>
      <c r="J589" s="28"/>
      <c r="K589" s="29"/>
      <c r="L589" s="28"/>
      <c r="M589" s="28"/>
      <c r="N589" s="28"/>
      <c r="O589" s="28"/>
      <c r="P589" s="28"/>
      <c r="Q589" s="28"/>
      <c r="R589" s="28"/>
      <c r="S589" s="28"/>
      <c r="T589" s="28"/>
    </row>
    <row r="590" s="31" customFormat="1" ht="42.75" customHeight="1" spans="1:20">
      <c r="A590" s="69" t="s">
        <v>474</v>
      </c>
      <c r="B590" s="83" t="s">
        <v>475</v>
      </c>
      <c r="C590" s="84"/>
      <c r="D590" s="85"/>
      <c r="E590" s="87"/>
      <c r="F590" s="87"/>
      <c r="G590" s="73"/>
      <c r="H590" s="77"/>
      <c r="I590" s="94"/>
      <c r="J590" s="28"/>
      <c r="K590" s="29"/>
      <c r="L590" s="28"/>
      <c r="M590" s="28"/>
      <c r="N590" s="28"/>
      <c r="O590" s="28"/>
      <c r="P590" s="28"/>
      <c r="Q590" s="28"/>
      <c r="R590" s="28"/>
      <c r="S590" s="28"/>
      <c r="T590" s="28"/>
    </row>
    <row r="591" s="31" customFormat="1" spans="1:20">
      <c r="A591" s="69" t="s">
        <v>476</v>
      </c>
      <c r="B591" s="99" t="s">
        <v>477</v>
      </c>
      <c r="C591" s="84"/>
      <c r="D591" s="85"/>
      <c r="E591" s="87"/>
      <c r="F591" s="87"/>
      <c r="G591" s="73"/>
      <c r="H591" s="77"/>
      <c r="I591" s="94"/>
      <c r="J591" s="28"/>
      <c r="K591" s="29"/>
      <c r="L591" s="28"/>
      <c r="M591" s="28"/>
      <c r="N591" s="28"/>
      <c r="O591" s="28"/>
      <c r="P591" s="28"/>
      <c r="Q591" s="28"/>
      <c r="R591" s="28"/>
      <c r="S591" s="28"/>
      <c r="T591" s="28"/>
    </row>
    <row r="592" s="31" customFormat="1" ht="43.5" customHeight="1" spans="1:20">
      <c r="A592" s="69"/>
      <c r="B592" s="75" t="s">
        <v>478</v>
      </c>
      <c r="C592" s="84"/>
      <c r="D592" s="85"/>
      <c r="E592" s="87"/>
      <c r="F592" s="87"/>
      <c r="G592" s="73"/>
      <c r="H592" s="77"/>
      <c r="I592" s="94"/>
      <c r="J592" s="28"/>
      <c r="K592" s="29"/>
      <c r="L592" s="28"/>
      <c r="M592" s="28"/>
      <c r="N592" s="28"/>
      <c r="O592" s="28"/>
      <c r="P592" s="28"/>
      <c r="Q592" s="28"/>
      <c r="R592" s="28"/>
      <c r="S592" s="28"/>
      <c r="T592" s="28"/>
    </row>
    <row r="593" s="31" customFormat="1" spans="1:20">
      <c r="A593" s="69"/>
      <c r="B593" s="99"/>
      <c r="C593" s="84"/>
      <c r="D593" s="85"/>
      <c r="E593" s="87"/>
      <c r="F593" s="87"/>
      <c r="G593" s="73"/>
      <c r="H593" s="77"/>
      <c r="I593" s="94"/>
      <c r="J593" s="28"/>
      <c r="K593" s="29"/>
      <c r="L593" s="28"/>
      <c r="M593" s="28"/>
      <c r="N593" s="28"/>
      <c r="O593" s="28"/>
      <c r="P593" s="28"/>
      <c r="Q593" s="28"/>
      <c r="R593" s="28"/>
      <c r="S593" s="28"/>
      <c r="T593" s="28"/>
    </row>
    <row r="594" s="31" customFormat="1" spans="1:20">
      <c r="A594" s="69" t="s">
        <v>479</v>
      </c>
      <c r="B594" s="70" t="s">
        <v>480</v>
      </c>
      <c r="C594" s="84" t="s">
        <v>27</v>
      </c>
      <c r="D594" s="85">
        <v>1</v>
      </c>
      <c r="E594" s="72">
        <v>924.92</v>
      </c>
      <c r="F594" s="72">
        <f>IF(E594="","",ROUND(E594+(E594*$D$5),2))</f>
        <v>1155.5</v>
      </c>
      <c r="G594" s="73">
        <f>D594*F594</f>
        <v>1155.5</v>
      </c>
      <c r="H594" s="77">
        <v>1</v>
      </c>
      <c r="I594" s="94"/>
      <c r="J594" s="28"/>
      <c r="K594" s="29"/>
      <c r="L594" s="28"/>
      <c r="M594" s="28"/>
      <c r="N594" s="28"/>
      <c r="O594" s="28"/>
      <c r="P594" s="28"/>
      <c r="Q594" s="28"/>
      <c r="R594" s="28"/>
      <c r="S594" s="28"/>
      <c r="T594" s="28"/>
    </row>
    <row r="595" s="31" customFormat="1" spans="1:20">
      <c r="A595" s="69"/>
      <c r="B595" s="75"/>
      <c r="C595" s="84"/>
      <c r="D595" s="85"/>
      <c r="E595" s="87"/>
      <c r="F595" s="87"/>
      <c r="G595" s="73"/>
      <c r="H595" s="77"/>
      <c r="I595" s="94"/>
      <c r="J595" s="28"/>
      <c r="K595" s="29"/>
      <c r="L595" s="28"/>
      <c r="M595" s="28"/>
      <c r="N595" s="28"/>
      <c r="O595" s="28"/>
      <c r="P595" s="28"/>
      <c r="Q595" s="28"/>
      <c r="R595" s="28"/>
      <c r="S595" s="28"/>
      <c r="T595" s="28"/>
    </row>
    <row r="596" s="31" customFormat="1" spans="1:20">
      <c r="A596" s="69"/>
      <c r="B596" s="75"/>
      <c r="C596" s="84"/>
      <c r="D596" s="85"/>
      <c r="E596" s="87"/>
      <c r="F596" s="87"/>
      <c r="G596" s="73"/>
      <c r="H596" s="77"/>
      <c r="I596" s="94"/>
      <c r="J596" s="28"/>
      <c r="K596" s="29"/>
      <c r="L596" s="28"/>
      <c r="M596" s="28"/>
      <c r="N596" s="28"/>
      <c r="O596" s="28"/>
      <c r="P596" s="28"/>
      <c r="Q596" s="28"/>
      <c r="R596" s="28"/>
      <c r="S596" s="28"/>
      <c r="T596" s="28"/>
    </row>
    <row r="597" s="31" customFormat="1" spans="1:20">
      <c r="A597" s="69"/>
      <c r="B597" s="75"/>
      <c r="C597" s="84"/>
      <c r="D597" s="85"/>
      <c r="E597" s="87"/>
      <c r="F597" s="87"/>
      <c r="G597" s="73"/>
      <c r="H597" s="77"/>
      <c r="I597" s="94"/>
      <c r="J597" s="28"/>
      <c r="K597" s="29"/>
      <c r="L597" s="28"/>
      <c r="M597" s="28"/>
      <c r="N597" s="28"/>
      <c r="O597" s="28"/>
      <c r="P597" s="28"/>
      <c r="Q597" s="28"/>
      <c r="R597" s="28"/>
      <c r="S597" s="28"/>
      <c r="T597" s="28"/>
    </row>
    <row r="598" s="31" customFormat="1" spans="1:20">
      <c r="A598" s="69"/>
      <c r="B598" s="75"/>
      <c r="C598" s="84"/>
      <c r="D598" s="85"/>
      <c r="E598" s="87"/>
      <c r="F598" s="87"/>
      <c r="G598" s="73"/>
      <c r="H598" s="77"/>
      <c r="I598" s="94"/>
      <c r="J598" s="28"/>
      <c r="K598" s="29"/>
      <c r="L598" s="28"/>
      <c r="M598" s="28"/>
      <c r="N598" s="28"/>
      <c r="O598" s="28"/>
      <c r="P598" s="28"/>
      <c r="Q598" s="28"/>
      <c r="R598" s="28"/>
      <c r="S598" s="28"/>
      <c r="T598" s="28"/>
    </row>
    <row r="599" s="31" customFormat="1" spans="1:20">
      <c r="A599" s="69"/>
      <c r="B599" s="75"/>
      <c r="C599" s="84"/>
      <c r="D599" s="85"/>
      <c r="E599" s="87"/>
      <c r="F599" s="87"/>
      <c r="G599" s="73"/>
      <c r="H599" s="77"/>
      <c r="I599" s="94"/>
      <c r="J599" s="28"/>
      <c r="K599" s="29"/>
      <c r="L599" s="28"/>
      <c r="M599" s="28"/>
      <c r="N599" s="28"/>
      <c r="O599" s="28"/>
      <c r="P599" s="28"/>
      <c r="Q599" s="28"/>
      <c r="R599" s="28"/>
      <c r="S599" s="28"/>
      <c r="T599" s="28"/>
    </row>
    <row r="600" s="31" customFormat="1" spans="1:20">
      <c r="A600" s="69"/>
      <c r="B600" s="75"/>
      <c r="C600" s="84"/>
      <c r="D600" s="85"/>
      <c r="E600" s="87"/>
      <c r="F600" s="87"/>
      <c r="G600" s="73"/>
      <c r="H600" s="77"/>
      <c r="I600" s="94"/>
      <c r="J600" s="28"/>
      <c r="K600" s="29"/>
      <c r="L600" s="28"/>
      <c r="M600" s="28"/>
      <c r="N600" s="28"/>
      <c r="O600" s="28"/>
      <c r="P600" s="28"/>
      <c r="Q600" s="28"/>
      <c r="R600" s="28"/>
      <c r="S600" s="28"/>
      <c r="T600" s="28"/>
    </row>
    <row r="601" s="31" customFormat="1" spans="1:20">
      <c r="A601" s="69"/>
      <c r="B601" s="75"/>
      <c r="C601" s="84"/>
      <c r="D601" s="85"/>
      <c r="E601" s="87"/>
      <c r="F601" s="87"/>
      <c r="G601" s="73"/>
      <c r="H601" s="77"/>
      <c r="I601" s="94"/>
      <c r="J601" s="28"/>
      <c r="K601" s="29"/>
      <c r="L601" s="28"/>
      <c r="M601" s="28"/>
      <c r="N601" s="28"/>
      <c r="O601" s="28"/>
      <c r="P601" s="28"/>
      <c r="Q601" s="28"/>
      <c r="R601" s="28"/>
      <c r="S601" s="28"/>
      <c r="T601" s="28"/>
    </row>
    <row r="602" s="31" customFormat="1" spans="1:20">
      <c r="A602" s="69"/>
      <c r="B602" s="75"/>
      <c r="C602" s="84"/>
      <c r="D602" s="85"/>
      <c r="E602" s="87"/>
      <c r="F602" s="87"/>
      <c r="G602" s="73"/>
      <c r="H602" s="77"/>
      <c r="I602" s="94"/>
      <c r="J602" s="28"/>
      <c r="K602" s="29"/>
      <c r="L602" s="28"/>
      <c r="M602" s="28"/>
      <c r="N602" s="28"/>
      <c r="O602" s="28"/>
      <c r="P602" s="28"/>
      <c r="Q602" s="28"/>
      <c r="R602" s="28"/>
      <c r="S602" s="28"/>
      <c r="T602" s="28"/>
    </row>
    <row r="603" s="31" customFormat="1" spans="1:20">
      <c r="A603" s="69"/>
      <c r="B603" s="75"/>
      <c r="C603" s="84"/>
      <c r="D603" s="85"/>
      <c r="E603" s="87"/>
      <c r="F603" s="87"/>
      <c r="G603" s="73"/>
      <c r="H603" s="77"/>
      <c r="I603" s="94"/>
      <c r="J603" s="28"/>
      <c r="K603" s="29"/>
      <c r="L603" s="28"/>
      <c r="M603" s="28"/>
      <c r="N603" s="28"/>
      <c r="O603" s="28"/>
      <c r="P603" s="28"/>
      <c r="Q603" s="28"/>
      <c r="R603" s="28"/>
      <c r="S603" s="28"/>
      <c r="T603" s="28"/>
    </row>
    <row r="604" s="31" customFormat="1" spans="1:20">
      <c r="A604" s="69"/>
      <c r="B604" s="75"/>
      <c r="C604" s="84"/>
      <c r="D604" s="85"/>
      <c r="E604" s="87"/>
      <c r="F604" s="87"/>
      <c r="G604" s="73"/>
      <c r="H604" s="77"/>
      <c r="I604" s="94"/>
      <c r="J604" s="28"/>
      <c r="K604" s="29"/>
      <c r="L604" s="28"/>
      <c r="M604" s="28"/>
      <c r="N604" s="28"/>
      <c r="O604" s="28"/>
      <c r="P604" s="28"/>
      <c r="Q604" s="28"/>
      <c r="R604" s="28"/>
      <c r="S604" s="28"/>
      <c r="T604" s="28"/>
    </row>
    <row r="605" s="31" customFormat="1" spans="1:20">
      <c r="A605" s="69"/>
      <c r="B605" s="75"/>
      <c r="C605" s="84"/>
      <c r="D605" s="85"/>
      <c r="E605" s="87"/>
      <c r="F605" s="87"/>
      <c r="G605" s="73"/>
      <c r="H605" s="77"/>
      <c r="I605" s="94"/>
      <c r="J605" s="28"/>
      <c r="K605" s="29"/>
      <c r="L605" s="28"/>
      <c r="M605" s="28"/>
      <c r="N605" s="28"/>
      <c r="O605" s="28"/>
      <c r="P605" s="28"/>
      <c r="Q605" s="28"/>
      <c r="R605" s="28"/>
      <c r="S605" s="28"/>
      <c r="T605" s="28"/>
    </row>
    <row r="606" s="31" customFormat="1" spans="1:20">
      <c r="A606" s="69"/>
      <c r="B606" s="70"/>
      <c r="C606" s="84"/>
      <c r="D606" s="85"/>
      <c r="E606" s="87"/>
      <c r="F606" s="87"/>
      <c r="G606" s="73"/>
      <c r="H606" s="77"/>
      <c r="I606" s="94"/>
      <c r="J606" s="28"/>
      <c r="K606" s="29"/>
      <c r="L606" s="28"/>
      <c r="M606" s="28"/>
      <c r="N606" s="28"/>
      <c r="O606" s="28"/>
      <c r="P606" s="28"/>
      <c r="Q606" s="28"/>
      <c r="R606" s="28"/>
      <c r="S606" s="28"/>
      <c r="T606" s="28"/>
    </row>
    <row r="607" s="31" customFormat="1" spans="1:20">
      <c r="A607" s="69" t="s">
        <v>481</v>
      </c>
      <c r="B607" s="99" t="s">
        <v>482</v>
      </c>
      <c r="C607" s="84"/>
      <c r="D607" s="85"/>
      <c r="E607" s="87"/>
      <c r="F607" s="87"/>
      <c r="G607" s="73"/>
      <c r="H607" s="77"/>
      <c r="I607" s="94"/>
      <c r="J607" s="28"/>
      <c r="K607" s="29"/>
      <c r="L607" s="28"/>
      <c r="M607" s="28"/>
      <c r="N607" s="28"/>
      <c r="O607" s="28"/>
      <c r="P607" s="28"/>
      <c r="Q607" s="28"/>
      <c r="R607" s="28"/>
      <c r="S607" s="28"/>
      <c r="T607" s="28"/>
    </row>
    <row r="608" s="31" customFormat="1" ht="376.5" customHeight="1" spans="1:20">
      <c r="A608" s="69"/>
      <c r="B608" s="75" t="s">
        <v>483</v>
      </c>
      <c r="C608" s="84"/>
      <c r="D608" s="85"/>
      <c r="E608" s="87"/>
      <c r="F608" s="87"/>
      <c r="G608" s="73"/>
      <c r="H608" s="77"/>
      <c r="I608" s="94"/>
      <c r="J608" s="28"/>
      <c r="K608" s="29"/>
      <c r="L608" s="28"/>
      <c r="M608" s="28"/>
      <c r="N608" s="28"/>
      <c r="O608" s="28"/>
      <c r="P608" s="28"/>
      <c r="Q608" s="28"/>
      <c r="R608" s="28"/>
      <c r="S608" s="28"/>
      <c r="T608" s="28"/>
    </row>
    <row r="609" s="31" customFormat="1" spans="1:20">
      <c r="A609" s="69"/>
      <c r="B609" s="75"/>
      <c r="C609" s="84"/>
      <c r="D609" s="85"/>
      <c r="E609" s="87"/>
      <c r="F609" s="87"/>
      <c r="G609" s="73"/>
      <c r="H609" s="77"/>
      <c r="I609" s="94"/>
      <c r="J609" s="28"/>
      <c r="K609" s="29"/>
      <c r="L609" s="28"/>
      <c r="M609" s="28"/>
      <c r="N609" s="28"/>
      <c r="O609" s="28"/>
      <c r="P609" s="28"/>
      <c r="Q609" s="28"/>
      <c r="R609" s="28"/>
      <c r="S609" s="28"/>
      <c r="T609" s="28"/>
    </row>
    <row r="610" s="31" customFormat="1" ht="31.5" customHeight="1" spans="1:20">
      <c r="A610" s="69" t="s">
        <v>484</v>
      </c>
      <c r="B610" s="70" t="s">
        <v>485</v>
      </c>
      <c r="C610" s="84" t="s">
        <v>27</v>
      </c>
      <c r="D610" s="85">
        <v>1</v>
      </c>
      <c r="E610" s="72">
        <v>1280.265</v>
      </c>
      <c r="F610" s="72">
        <f>IF(E610="","",ROUND(E610+(E610*$D$5),2))</f>
        <v>1599.44</v>
      </c>
      <c r="G610" s="73">
        <f>D610*F610</f>
        <v>1599.44</v>
      </c>
      <c r="H610" s="77">
        <v>1</v>
      </c>
      <c r="I610" s="94"/>
      <c r="J610" s="28"/>
      <c r="K610" s="29"/>
      <c r="L610" s="28"/>
      <c r="M610" s="28"/>
      <c r="N610" s="28"/>
      <c r="O610" s="28"/>
      <c r="P610" s="28"/>
      <c r="Q610" s="28"/>
      <c r="R610" s="28"/>
      <c r="S610" s="28"/>
      <c r="T610" s="28"/>
    </row>
    <row r="611" s="31" customFormat="1" ht="16.5" customHeight="1" spans="1:20">
      <c r="A611" s="69"/>
      <c r="B611" s="75"/>
      <c r="C611" s="84"/>
      <c r="D611" s="85"/>
      <c r="E611" s="87"/>
      <c r="F611" s="87"/>
      <c r="G611" s="73"/>
      <c r="H611" s="77"/>
      <c r="I611" s="94"/>
      <c r="J611" s="28"/>
      <c r="K611" s="29"/>
      <c r="L611" s="28"/>
      <c r="M611" s="28"/>
      <c r="N611" s="28"/>
      <c r="O611" s="28"/>
      <c r="P611" s="28"/>
      <c r="Q611" s="28"/>
      <c r="R611" s="28"/>
      <c r="S611" s="28"/>
      <c r="T611" s="28"/>
    </row>
    <row r="612" s="31" customFormat="1" spans="1:20">
      <c r="A612" s="69" t="s">
        <v>486</v>
      </c>
      <c r="B612" s="70" t="s">
        <v>487</v>
      </c>
      <c r="C612" s="84" t="s">
        <v>27</v>
      </c>
      <c r="D612" s="85">
        <v>1</v>
      </c>
      <c r="E612" s="72">
        <v>1856.175</v>
      </c>
      <c r="F612" s="72">
        <f>IF(E612="","",ROUND(E612+(E612*$D$5),2))</f>
        <v>2318.92</v>
      </c>
      <c r="G612" s="73">
        <f>D612*F612</f>
        <v>2318.92</v>
      </c>
      <c r="H612" s="77">
        <v>1</v>
      </c>
      <c r="I612" s="94"/>
      <c r="J612" s="28"/>
      <c r="K612" s="29"/>
      <c r="L612" s="28"/>
      <c r="M612" s="28"/>
      <c r="N612" s="28"/>
      <c r="O612" s="28"/>
      <c r="P612" s="28"/>
      <c r="Q612" s="28"/>
      <c r="R612" s="28"/>
      <c r="S612" s="28"/>
      <c r="T612" s="28"/>
    </row>
    <row r="613" s="31" customFormat="1" spans="1:20">
      <c r="A613" s="69"/>
      <c r="B613" s="75"/>
      <c r="C613" s="84"/>
      <c r="D613" s="85"/>
      <c r="E613" s="87"/>
      <c r="F613" s="87"/>
      <c r="G613" s="73"/>
      <c r="H613" s="77"/>
      <c r="I613" s="94"/>
      <c r="J613" s="28"/>
      <c r="K613" s="29"/>
      <c r="L613" s="28"/>
      <c r="M613" s="28"/>
      <c r="N613" s="28"/>
      <c r="O613" s="28"/>
      <c r="P613" s="28"/>
      <c r="Q613" s="28"/>
      <c r="R613" s="28"/>
      <c r="S613" s="28"/>
      <c r="T613" s="28"/>
    </row>
    <row r="614" s="31" customFormat="1" spans="1:20">
      <c r="A614" s="69" t="s">
        <v>488</v>
      </c>
      <c r="B614" s="70" t="s">
        <v>489</v>
      </c>
      <c r="C614" s="84" t="s">
        <v>27</v>
      </c>
      <c r="D614" s="85">
        <v>1</v>
      </c>
      <c r="E614" s="72">
        <v>1907.75</v>
      </c>
      <c r="F614" s="72">
        <f>IF(E614="","",ROUND(E614+(E614*$D$5),2))</f>
        <v>2383.35</v>
      </c>
      <c r="G614" s="73">
        <f>D614*F614</f>
        <v>2383.35</v>
      </c>
      <c r="H614" s="77">
        <v>1</v>
      </c>
      <c r="I614" s="94"/>
      <c r="J614" s="28"/>
      <c r="K614" s="29"/>
      <c r="L614" s="28"/>
      <c r="M614" s="28"/>
      <c r="N614" s="28"/>
      <c r="O614" s="28"/>
      <c r="P614" s="28"/>
      <c r="Q614" s="28"/>
      <c r="R614" s="28"/>
      <c r="S614" s="28"/>
      <c r="T614" s="28"/>
    </row>
    <row r="615" s="31" customFormat="1" spans="1:20">
      <c r="A615" s="69"/>
      <c r="B615" s="75"/>
      <c r="C615" s="84"/>
      <c r="D615" s="85"/>
      <c r="E615" s="87"/>
      <c r="F615" s="87"/>
      <c r="G615" s="73"/>
      <c r="H615" s="77"/>
      <c r="I615" s="94"/>
      <c r="J615" s="28"/>
      <c r="K615" s="29"/>
      <c r="L615" s="28"/>
      <c r="M615" s="28"/>
      <c r="N615" s="28"/>
      <c r="O615" s="28"/>
      <c r="P615" s="28"/>
      <c r="Q615" s="28"/>
      <c r="R615" s="28"/>
      <c r="S615" s="28"/>
      <c r="T615" s="28"/>
    </row>
    <row r="616" s="31" customFormat="1" spans="1:20">
      <c r="A616" s="69"/>
      <c r="B616" s="75"/>
      <c r="C616" s="84"/>
      <c r="D616" s="85"/>
      <c r="E616" s="87"/>
      <c r="F616" s="87"/>
      <c r="G616" s="73"/>
      <c r="H616" s="77"/>
      <c r="I616" s="94"/>
      <c r="J616" s="28"/>
      <c r="K616" s="29"/>
      <c r="L616" s="28"/>
      <c r="M616" s="28"/>
      <c r="N616" s="28"/>
      <c r="O616" s="28"/>
      <c r="P616" s="28"/>
      <c r="Q616" s="28"/>
      <c r="R616" s="28"/>
      <c r="S616" s="28"/>
      <c r="T616" s="28"/>
    </row>
    <row r="617" s="31" customFormat="1" ht="27" customHeight="1" spans="1:20">
      <c r="A617" s="69" t="s">
        <v>490</v>
      </c>
      <c r="B617" s="70" t="s">
        <v>491</v>
      </c>
      <c r="C617" s="84" t="s">
        <v>27</v>
      </c>
      <c r="D617" s="85">
        <v>2</v>
      </c>
      <c r="E617" s="72">
        <v>1690.59</v>
      </c>
      <c r="F617" s="72">
        <f>IF(E617="","",ROUND(E617+(E617*$D$5),2))</f>
        <v>2112.05</v>
      </c>
      <c r="G617" s="73">
        <f>D617*F617</f>
        <v>4224.1</v>
      </c>
      <c r="H617" s="77">
        <v>2</v>
      </c>
      <c r="I617" s="94"/>
      <c r="J617" s="28"/>
      <c r="K617" s="29"/>
      <c r="L617" s="28"/>
      <c r="M617" s="28"/>
      <c r="N617" s="28"/>
      <c r="O617" s="28"/>
      <c r="P617" s="28"/>
      <c r="Q617" s="28"/>
      <c r="R617" s="28"/>
      <c r="S617" s="28"/>
      <c r="T617" s="28"/>
    </row>
    <row r="618" s="31" customFormat="1" spans="1:20">
      <c r="A618" s="69"/>
      <c r="B618" s="75"/>
      <c r="C618" s="84"/>
      <c r="D618" s="85"/>
      <c r="E618" s="87"/>
      <c r="F618" s="87"/>
      <c r="G618" s="73"/>
      <c r="H618" s="77"/>
      <c r="I618" s="94"/>
      <c r="J618" s="28"/>
      <c r="K618" s="29"/>
      <c r="L618" s="28"/>
      <c r="M618" s="28"/>
      <c r="N618" s="28"/>
      <c r="O618" s="28"/>
      <c r="P618" s="28"/>
      <c r="Q618" s="28"/>
      <c r="R618" s="28"/>
      <c r="S618" s="28"/>
      <c r="T618" s="28"/>
    </row>
    <row r="619" s="31" customFormat="1" spans="1:20">
      <c r="A619" s="69" t="s">
        <v>492</v>
      </c>
      <c r="B619" s="70" t="s">
        <v>493</v>
      </c>
      <c r="C619" s="84" t="s">
        <v>27</v>
      </c>
      <c r="D619" s="85">
        <v>2</v>
      </c>
      <c r="E619" s="72">
        <v>2244.01</v>
      </c>
      <c r="F619" s="72">
        <f>IF(E619="","",ROUND(E619+(E619*$D$5),2))</f>
        <v>2803.44</v>
      </c>
      <c r="G619" s="73">
        <f>D619*F619</f>
        <v>5606.88</v>
      </c>
      <c r="H619" s="77">
        <v>2</v>
      </c>
      <c r="I619" s="94"/>
      <c r="J619" s="28"/>
      <c r="K619" s="29"/>
      <c r="L619" s="28"/>
      <c r="M619" s="28"/>
      <c r="N619" s="28"/>
      <c r="O619" s="28"/>
      <c r="P619" s="28"/>
      <c r="Q619" s="28"/>
      <c r="R619" s="28"/>
      <c r="S619" s="28"/>
      <c r="T619" s="28"/>
    </row>
    <row r="620" s="31" customFormat="1" spans="1:20">
      <c r="A620" s="69"/>
      <c r="B620" s="70"/>
      <c r="C620" s="84"/>
      <c r="D620" s="85"/>
      <c r="E620" s="72"/>
      <c r="F620" s="72"/>
      <c r="G620" s="73"/>
      <c r="H620" s="77"/>
      <c r="I620" s="94"/>
      <c r="J620" s="28"/>
      <c r="K620" s="29"/>
      <c r="L620" s="28"/>
      <c r="M620" s="28"/>
      <c r="N620" s="28"/>
      <c r="O620" s="28"/>
      <c r="P620" s="28"/>
      <c r="Q620" s="28"/>
      <c r="R620" s="28"/>
      <c r="S620" s="28"/>
      <c r="T620" s="28"/>
    </row>
    <row r="621" s="31" customFormat="1" spans="1:20">
      <c r="A621" s="69"/>
      <c r="B621" s="70"/>
      <c r="C621" s="84"/>
      <c r="D621" s="85"/>
      <c r="E621" s="72"/>
      <c r="F621" s="72"/>
      <c r="G621" s="73"/>
      <c r="H621" s="77"/>
      <c r="I621" s="94"/>
      <c r="J621" s="28"/>
      <c r="K621" s="29"/>
      <c r="L621" s="28"/>
      <c r="M621" s="28"/>
      <c r="N621" s="28"/>
      <c r="O621" s="28"/>
      <c r="P621" s="28"/>
      <c r="Q621" s="28"/>
      <c r="R621" s="28"/>
      <c r="S621" s="28"/>
      <c r="T621" s="28"/>
    </row>
    <row r="622" s="31" customFormat="1" ht="27" customHeight="1" spans="1:20">
      <c r="A622" s="69" t="s">
        <v>494</v>
      </c>
      <c r="B622" s="70" t="s">
        <v>495</v>
      </c>
      <c r="C622" s="84" t="s">
        <v>27</v>
      </c>
      <c r="D622" s="85">
        <v>1</v>
      </c>
      <c r="E622" s="72">
        <v>1520.37</v>
      </c>
      <c r="F622" s="72">
        <f>IF(E622="","",ROUND(E622+(E622*$D$5),2))</f>
        <v>1899.4</v>
      </c>
      <c r="G622" s="73">
        <f>D622*F622</f>
        <v>1899.4</v>
      </c>
      <c r="H622" s="77">
        <v>1</v>
      </c>
      <c r="I622" s="94"/>
      <c r="J622" s="28"/>
      <c r="K622" s="29"/>
      <c r="L622" s="28"/>
      <c r="M622" s="28"/>
      <c r="N622" s="28"/>
      <c r="O622" s="28"/>
      <c r="P622" s="28"/>
      <c r="Q622" s="28"/>
      <c r="R622" s="28"/>
      <c r="S622" s="28"/>
      <c r="T622" s="28"/>
    </row>
    <row r="623" s="31" customFormat="1" spans="1:20">
      <c r="A623" s="69"/>
      <c r="B623" s="70"/>
      <c r="C623" s="84"/>
      <c r="D623" s="85"/>
      <c r="E623" s="72"/>
      <c r="F623" s="72"/>
      <c r="G623" s="73"/>
      <c r="H623" s="77"/>
      <c r="I623" s="94"/>
      <c r="J623" s="28"/>
      <c r="K623" s="29"/>
      <c r="L623" s="28"/>
      <c r="M623" s="28"/>
      <c r="N623" s="28"/>
      <c r="O623" s="28"/>
      <c r="P623" s="28"/>
      <c r="Q623" s="28"/>
      <c r="R623" s="28"/>
      <c r="S623" s="28"/>
      <c r="T623" s="28"/>
    </row>
    <row r="624" s="31" customFormat="1" spans="1:20">
      <c r="A624" s="69"/>
      <c r="B624" s="70"/>
      <c r="C624" s="131" t="s">
        <v>41</v>
      </c>
      <c r="D624" s="131"/>
      <c r="E624" s="131"/>
      <c r="F624" s="131"/>
      <c r="G624" s="82">
        <f>G594+G610+G612+G614+G617+G619+G622</f>
        <v>19187.59</v>
      </c>
      <c r="H624" s="77"/>
      <c r="I624" s="94"/>
      <c r="J624" s="28"/>
      <c r="K624" s="29"/>
      <c r="L624" s="28"/>
      <c r="M624" s="28"/>
      <c r="N624" s="28"/>
      <c r="O624" s="28"/>
      <c r="P624" s="28"/>
      <c r="Q624" s="28"/>
      <c r="R624" s="28"/>
      <c r="S624" s="28"/>
      <c r="T624" s="28"/>
    </row>
    <row r="625" s="31" customFormat="1" spans="1:20">
      <c r="A625" s="69"/>
      <c r="B625" s="70"/>
      <c r="C625" s="131"/>
      <c r="D625" s="131"/>
      <c r="E625" s="131"/>
      <c r="F625" s="131"/>
      <c r="G625" s="82"/>
      <c r="H625" s="77"/>
      <c r="I625" s="94"/>
      <c r="J625" s="28"/>
      <c r="K625" s="29"/>
      <c r="L625" s="28"/>
      <c r="M625" s="28"/>
      <c r="N625" s="28"/>
      <c r="O625" s="28"/>
      <c r="P625" s="28"/>
      <c r="Q625" s="28"/>
      <c r="R625" s="28"/>
      <c r="S625" s="28"/>
      <c r="T625" s="28"/>
    </row>
    <row r="626" s="31" customFormat="1" spans="1:20">
      <c r="A626" s="69"/>
      <c r="B626" s="70"/>
      <c r="C626" s="131"/>
      <c r="D626" s="131"/>
      <c r="E626" s="131"/>
      <c r="F626" s="131"/>
      <c r="G626" s="82"/>
      <c r="H626" s="77"/>
      <c r="I626" s="94"/>
      <c r="J626" s="28"/>
      <c r="K626" s="29"/>
      <c r="L626" s="28"/>
      <c r="M626" s="28"/>
      <c r="N626" s="28"/>
      <c r="O626" s="28"/>
      <c r="P626" s="28"/>
      <c r="Q626" s="28"/>
      <c r="R626" s="28"/>
      <c r="S626" s="28"/>
      <c r="T626" s="28"/>
    </row>
    <row r="627" s="31" customFormat="1" spans="1:20">
      <c r="A627" s="69" t="s">
        <v>496</v>
      </c>
      <c r="B627" s="83" t="s">
        <v>497</v>
      </c>
      <c r="C627" s="84"/>
      <c r="D627" s="85"/>
      <c r="E627" s="87"/>
      <c r="F627" s="87"/>
      <c r="G627" s="73"/>
      <c r="H627" s="77"/>
      <c r="I627" s="94"/>
      <c r="J627" s="28"/>
      <c r="K627" s="29"/>
      <c r="L627" s="28"/>
      <c r="M627" s="28"/>
      <c r="N627" s="28"/>
      <c r="O627" s="28"/>
      <c r="P627" s="28"/>
      <c r="Q627" s="28"/>
      <c r="R627" s="28"/>
      <c r="S627" s="28"/>
      <c r="T627" s="28"/>
    </row>
    <row r="628" s="31" customFormat="1" ht="117.75" customHeight="1" spans="1:20">
      <c r="A628" s="69" t="s">
        <v>498</v>
      </c>
      <c r="B628" s="70" t="s">
        <v>499</v>
      </c>
      <c r="C628" s="84" t="s">
        <v>104</v>
      </c>
      <c r="D628" s="85">
        <f>4.26+0.36+2.18</f>
        <v>6.8</v>
      </c>
      <c r="E628" s="105">
        <v>20.6</v>
      </c>
      <c r="F628" s="72">
        <f>IF(E628="","",ROUND(E628+(E628*$D$4),2))</f>
        <v>25.31</v>
      </c>
      <c r="G628" s="73">
        <f>D628*F628</f>
        <v>172.108</v>
      </c>
      <c r="H628" s="77" t="s">
        <v>500</v>
      </c>
      <c r="I628" s="94" t="s">
        <v>501</v>
      </c>
      <c r="J628" s="28"/>
      <c r="K628" s="29"/>
      <c r="L628" s="28"/>
      <c r="M628" s="28"/>
      <c r="N628" s="28"/>
      <c r="O628" s="28"/>
      <c r="P628" s="28"/>
      <c r="Q628" s="28"/>
      <c r="R628" s="28"/>
      <c r="S628" s="28"/>
      <c r="T628" s="28"/>
    </row>
    <row r="629" s="31" customFormat="1" ht="12.75" customHeight="1" spans="1:20">
      <c r="A629" s="69"/>
      <c r="B629" s="75"/>
      <c r="C629" s="84"/>
      <c r="D629" s="85"/>
      <c r="E629" s="87"/>
      <c r="F629" s="87"/>
      <c r="G629" s="73"/>
      <c r="H629" s="77"/>
      <c r="I629" s="94"/>
      <c r="J629" s="28"/>
      <c r="K629" s="29"/>
      <c r="L629" s="28"/>
      <c r="M629" s="28"/>
      <c r="N629" s="28"/>
      <c r="O629" s="28"/>
      <c r="P629" s="28"/>
      <c r="Q629" s="28"/>
      <c r="R629" s="28"/>
      <c r="S629" s="28"/>
      <c r="T629" s="28"/>
    </row>
    <row r="630" s="31" customFormat="1" spans="1:20">
      <c r="A630" s="129"/>
      <c r="B630" s="130"/>
      <c r="C630" s="131" t="s">
        <v>41</v>
      </c>
      <c r="D630" s="131"/>
      <c r="E630" s="131"/>
      <c r="F630" s="131"/>
      <c r="G630" s="82">
        <f>G628</f>
        <v>172.108</v>
      </c>
      <c r="H630" s="77"/>
      <c r="I630" s="94"/>
      <c r="J630" s="28"/>
      <c r="K630" s="29"/>
      <c r="L630" s="28"/>
      <c r="M630" s="28"/>
      <c r="N630" s="28"/>
      <c r="O630" s="28"/>
      <c r="P630" s="28"/>
      <c r="Q630" s="28"/>
      <c r="R630" s="28"/>
      <c r="S630" s="28"/>
      <c r="T630" s="28"/>
    </row>
    <row r="631" s="31" customFormat="1" spans="1:20">
      <c r="A631" s="129"/>
      <c r="B631" s="130"/>
      <c r="C631" s="131"/>
      <c r="D631" s="131"/>
      <c r="E631" s="131"/>
      <c r="F631" s="131"/>
      <c r="G631" s="82"/>
      <c r="H631" s="77"/>
      <c r="I631" s="94"/>
      <c r="J631" s="28"/>
      <c r="K631" s="29"/>
      <c r="L631" s="28"/>
      <c r="M631" s="28"/>
      <c r="N631" s="28"/>
      <c r="O631" s="28"/>
      <c r="P631" s="28"/>
      <c r="Q631" s="28"/>
      <c r="R631" s="28"/>
      <c r="S631" s="28"/>
      <c r="T631" s="28"/>
    </row>
    <row r="632" s="31" customFormat="1" spans="1:20">
      <c r="A632" s="129"/>
      <c r="B632" s="130"/>
      <c r="C632" s="131"/>
      <c r="D632" s="131"/>
      <c r="E632" s="131"/>
      <c r="F632" s="131"/>
      <c r="G632" s="82"/>
      <c r="H632" s="77"/>
      <c r="I632" s="94"/>
      <c r="J632" s="28"/>
      <c r="K632" s="29"/>
      <c r="L632" s="28"/>
      <c r="M632" s="28"/>
      <c r="N632" s="28"/>
      <c r="O632" s="28"/>
      <c r="P632" s="28"/>
      <c r="Q632" s="28"/>
      <c r="R632" s="28"/>
      <c r="S632" s="28"/>
      <c r="T632" s="28"/>
    </row>
    <row r="633" s="31" customFormat="1" spans="1:20">
      <c r="A633" s="129"/>
      <c r="B633" s="130"/>
      <c r="C633" s="131"/>
      <c r="D633" s="131"/>
      <c r="E633" s="131"/>
      <c r="F633" s="131"/>
      <c r="G633" s="82"/>
      <c r="H633" s="77"/>
      <c r="I633" s="94"/>
      <c r="J633" s="28"/>
      <c r="K633" s="29"/>
      <c r="L633" s="28"/>
      <c r="M633" s="28"/>
      <c r="N633" s="28"/>
      <c r="O633" s="28"/>
      <c r="P633" s="28"/>
      <c r="Q633" s="28"/>
      <c r="R633" s="28"/>
      <c r="S633" s="28"/>
      <c r="T633" s="28"/>
    </row>
    <row r="634" s="31" customFormat="1" spans="1:20">
      <c r="A634" s="129"/>
      <c r="B634" s="130"/>
      <c r="C634" s="131"/>
      <c r="D634" s="131"/>
      <c r="E634" s="131"/>
      <c r="F634" s="131"/>
      <c r="G634" s="82"/>
      <c r="H634" s="77"/>
      <c r="I634" s="94"/>
      <c r="J634" s="28"/>
      <c r="K634" s="29"/>
      <c r="L634" s="28"/>
      <c r="M634" s="28"/>
      <c r="N634" s="28"/>
      <c r="O634" s="28"/>
      <c r="P634" s="28"/>
      <c r="Q634" s="28"/>
      <c r="R634" s="28"/>
      <c r="S634" s="28"/>
      <c r="T634" s="28"/>
    </row>
    <row r="635" s="31" customFormat="1" spans="1:20">
      <c r="A635" s="129"/>
      <c r="B635" s="130"/>
      <c r="C635" s="131"/>
      <c r="D635" s="131"/>
      <c r="E635" s="131"/>
      <c r="F635" s="131"/>
      <c r="G635" s="82"/>
      <c r="H635" s="77"/>
      <c r="I635" s="94"/>
      <c r="J635" s="28"/>
      <c r="K635" s="29"/>
      <c r="L635" s="28"/>
      <c r="M635" s="28"/>
      <c r="N635" s="28"/>
      <c r="O635" s="28"/>
      <c r="P635" s="28"/>
      <c r="Q635" s="28"/>
      <c r="R635" s="28"/>
      <c r="S635" s="28"/>
      <c r="T635" s="28"/>
    </row>
    <row r="636" s="31" customFormat="1" spans="1:20">
      <c r="A636" s="132"/>
      <c r="B636" s="83"/>
      <c r="C636" s="131" t="s">
        <v>502</v>
      </c>
      <c r="D636" s="131"/>
      <c r="E636" s="131"/>
      <c r="F636" s="131"/>
      <c r="G636" s="82">
        <f>G630+G589+G578+G479+G466+G451+G410+G385+G386+G363+G351+G352+G256+G219+G138+G116+G107+G95+G55+G29+G624</f>
        <v>711191.99270288</v>
      </c>
      <c r="H636" s="77"/>
      <c r="I636" s="133"/>
      <c r="J636" s="28"/>
      <c r="K636" s="29"/>
      <c r="L636" s="28"/>
      <c r="M636" s="28"/>
      <c r="N636" s="28"/>
      <c r="O636" s="28"/>
      <c r="P636" s="28"/>
      <c r="Q636" s="28"/>
      <c r="R636" s="28"/>
      <c r="S636" s="28"/>
      <c r="T636" s="28"/>
    </row>
    <row r="637" s="31" customFormat="1" spans="1:20">
      <c r="A637" s="132"/>
      <c r="B637" s="83"/>
      <c r="C637" s="131"/>
      <c r="D637" s="131"/>
      <c r="E637" s="131"/>
      <c r="F637" s="131"/>
      <c r="G637" s="82"/>
      <c r="H637" s="77"/>
      <c r="I637" s="133"/>
      <c r="J637" s="28"/>
      <c r="K637" s="29"/>
      <c r="L637" s="28"/>
      <c r="M637" s="28"/>
      <c r="N637" s="28"/>
      <c r="O637" s="28"/>
      <c r="P637" s="28"/>
      <c r="Q637" s="28"/>
      <c r="R637" s="28"/>
      <c r="S637" s="28"/>
      <c r="T637" s="28"/>
    </row>
    <row r="638" s="31" customFormat="1" spans="1:20">
      <c r="A638" s="132"/>
      <c r="B638" s="83"/>
      <c r="C638" s="131"/>
      <c r="D638" s="131"/>
      <c r="E638" s="131"/>
      <c r="F638" s="131"/>
      <c r="G638" s="82"/>
      <c r="H638" s="77"/>
      <c r="I638" s="133"/>
      <c r="J638" s="28"/>
      <c r="K638" s="29"/>
      <c r="L638" s="28"/>
      <c r="M638" s="28"/>
      <c r="N638" s="28"/>
      <c r="O638" s="28"/>
      <c r="P638" s="28"/>
      <c r="Q638" s="28"/>
      <c r="R638" s="28"/>
      <c r="S638" s="28"/>
      <c r="T638" s="28"/>
    </row>
    <row r="639" s="31" customFormat="1" spans="1:20">
      <c r="A639" s="132"/>
      <c r="B639" s="83"/>
      <c r="C639" s="131"/>
      <c r="D639" s="131"/>
      <c r="E639" s="131"/>
      <c r="F639" s="131"/>
      <c r="G639" s="82"/>
      <c r="H639" s="77"/>
      <c r="I639" s="133"/>
      <c r="J639" s="28"/>
      <c r="K639" s="29"/>
      <c r="L639" s="28"/>
      <c r="M639" s="28"/>
      <c r="N639" s="28"/>
      <c r="O639" s="28"/>
      <c r="P639" s="28"/>
      <c r="Q639" s="28"/>
      <c r="R639" s="28"/>
      <c r="S639" s="28"/>
      <c r="T639" s="28"/>
    </row>
    <row r="640" s="31" customFormat="1" spans="1:20">
      <c r="A640" s="132"/>
      <c r="B640" s="83"/>
      <c r="C640" s="131"/>
      <c r="D640" s="131"/>
      <c r="E640" s="131"/>
      <c r="F640" s="131"/>
      <c r="G640" s="82"/>
      <c r="H640" s="77"/>
      <c r="I640" s="133"/>
      <c r="J640" s="28"/>
      <c r="K640" s="29"/>
      <c r="L640" s="28"/>
      <c r="M640" s="28"/>
      <c r="N640" s="28"/>
      <c r="O640" s="28"/>
      <c r="P640" s="28"/>
      <c r="Q640" s="28"/>
      <c r="R640" s="28"/>
      <c r="S640" s="28"/>
      <c r="T640" s="28"/>
    </row>
    <row r="641" s="31" customFormat="1" spans="1:20">
      <c r="A641" s="132"/>
      <c r="B641" s="83"/>
      <c r="C641" s="131"/>
      <c r="D641" s="131"/>
      <c r="E641" s="131"/>
      <c r="F641" s="131"/>
      <c r="G641" s="82"/>
      <c r="H641" s="77"/>
      <c r="I641" s="133"/>
      <c r="J641" s="28"/>
      <c r="K641" s="29"/>
      <c r="L641" s="28"/>
      <c r="M641" s="28"/>
      <c r="N641" s="28"/>
      <c r="O641" s="28"/>
      <c r="P641" s="28"/>
      <c r="Q641" s="28"/>
      <c r="R641" s="28"/>
      <c r="S641" s="28"/>
      <c r="T641" s="28"/>
    </row>
    <row r="642" s="31" customFormat="1" spans="1:20">
      <c r="A642" s="132"/>
      <c r="B642" s="83"/>
      <c r="C642" s="131"/>
      <c r="D642" s="131"/>
      <c r="E642" s="131"/>
      <c r="F642" s="131"/>
      <c r="G642" s="82"/>
      <c r="H642" s="77"/>
      <c r="I642" s="133"/>
      <c r="J642" s="28"/>
      <c r="K642" s="29"/>
      <c r="L642" s="28"/>
      <c r="M642" s="28"/>
      <c r="N642" s="28"/>
      <c r="O642" s="28"/>
      <c r="P642" s="28"/>
      <c r="Q642" s="28"/>
      <c r="R642" s="28"/>
      <c r="S642" s="28"/>
      <c r="T642" s="28"/>
    </row>
    <row r="643" s="30" customFormat="1" customHeight="1" spans="1:20">
      <c r="A643" s="132"/>
      <c r="B643" s="83"/>
      <c r="C643" s="131"/>
      <c r="D643" s="131"/>
      <c r="E643" s="131"/>
      <c r="F643" s="131"/>
      <c r="G643" s="82"/>
      <c r="H643" s="77"/>
      <c r="I643" s="133"/>
      <c r="J643" s="28"/>
      <c r="K643" s="29"/>
      <c r="L643" s="28"/>
      <c r="M643" s="28"/>
      <c r="N643" s="28"/>
      <c r="O643" s="28"/>
      <c r="P643" s="28"/>
      <c r="Q643" s="28"/>
      <c r="R643" s="28"/>
      <c r="S643" s="28"/>
      <c r="T643" s="28"/>
    </row>
    <row r="644" s="30" customFormat="1" ht="33.75" customHeight="1" spans="1:20">
      <c r="A644" s="134" t="s">
        <v>503</v>
      </c>
      <c r="B644" s="135"/>
      <c r="C644" s="135"/>
      <c r="D644" s="135"/>
      <c r="E644" s="135"/>
      <c r="F644" s="135"/>
      <c r="G644" s="136"/>
      <c r="H644" s="137" t="s">
        <v>504</v>
      </c>
      <c r="I644" s="156" t="s">
        <v>505</v>
      </c>
      <c r="J644" s="28"/>
      <c r="K644" s="29"/>
      <c r="L644" s="28"/>
      <c r="M644" s="28"/>
      <c r="N644" s="28"/>
      <c r="O644" s="28"/>
      <c r="P644" s="28"/>
      <c r="Q644" s="28"/>
      <c r="R644" s="28"/>
      <c r="S644" s="28"/>
      <c r="T644" s="28"/>
    </row>
    <row r="645" s="30" customFormat="1" ht="19.5" spans="1:20">
      <c r="A645" s="138" t="s">
        <v>506</v>
      </c>
      <c r="B645" s="139"/>
      <c r="C645" s="139"/>
      <c r="D645" s="139"/>
      <c r="E645" s="140" t="s">
        <v>507</v>
      </c>
      <c r="F645" s="140"/>
      <c r="G645" s="140"/>
      <c r="H645" s="141" t="s">
        <v>508</v>
      </c>
      <c r="I645" s="157"/>
      <c r="J645" s="28"/>
      <c r="K645" s="29"/>
      <c r="L645" s="28"/>
      <c r="M645" s="28"/>
      <c r="N645" s="28"/>
      <c r="O645" s="28"/>
      <c r="P645" s="28"/>
      <c r="Q645" s="28"/>
      <c r="R645" s="28"/>
      <c r="S645" s="28"/>
      <c r="T645" s="28"/>
    </row>
    <row r="646" s="30" customFormat="1" ht="19.5" spans="1:20">
      <c r="A646" s="138" t="s">
        <v>509</v>
      </c>
      <c r="B646" s="139"/>
      <c r="C646" s="139"/>
      <c r="D646" s="139"/>
      <c r="E646" s="142"/>
      <c r="F646" s="142"/>
      <c r="G646" s="143"/>
      <c r="H646" s="144"/>
      <c r="I646" s="158"/>
      <c r="J646" s="28"/>
      <c r="K646" s="29"/>
      <c r="L646" s="28"/>
      <c r="M646" s="28"/>
      <c r="N646" s="28"/>
      <c r="O646" s="28"/>
      <c r="P646" s="28"/>
      <c r="Q646" s="28"/>
      <c r="R646" s="28"/>
      <c r="S646" s="28"/>
      <c r="T646" s="28"/>
    </row>
    <row r="647" ht="30" customHeight="1" spans="1:9">
      <c r="A647" s="145"/>
      <c r="B647" s="146"/>
      <c r="C647" s="147"/>
      <c r="D647" s="148"/>
      <c r="E647" s="149"/>
      <c r="F647" s="149"/>
      <c r="G647" s="148"/>
      <c r="H647" s="150"/>
      <c r="I647" s="159"/>
    </row>
    <row r="648" s="34" customFormat="1" ht="24" customHeight="1" spans="1:20">
      <c r="A648" s="151"/>
      <c r="B648" s="152"/>
      <c r="C648" s="153"/>
      <c r="D648" s="38"/>
      <c r="E648" s="39"/>
      <c r="F648" s="39"/>
      <c r="G648" s="38"/>
      <c r="H648" s="154"/>
      <c r="I648" s="160"/>
      <c r="J648" s="28"/>
      <c r="K648" s="29"/>
      <c r="L648" s="28"/>
      <c r="M648" s="28"/>
      <c r="N648" s="28"/>
      <c r="O648" s="28"/>
      <c r="P648" s="28"/>
      <c r="Q648" s="28"/>
      <c r="R648" s="28"/>
      <c r="S648" s="28"/>
      <c r="T648" s="28"/>
    </row>
    <row r="649" s="34" customFormat="1" ht="28.9" customHeight="1" spans="1:20">
      <c r="A649" s="151"/>
      <c r="B649" s="152"/>
      <c r="C649" s="153"/>
      <c r="D649" s="38"/>
      <c r="E649" s="39">
        <f>E628/14.95</f>
        <v>1.37792642140468</v>
      </c>
      <c r="F649" s="39"/>
      <c r="G649" s="38"/>
      <c r="H649" s="154"/>
      <c r="I649" s="160"/>
      <c r="J649" s="28"/>
      <c r="K649" s="29"/>
      <c r="L649" s="28"/>
      <c r="M649" s="28"/>
      <c r="N649" s="28"/>
      <c r="O649" s="28"/>
      <c r="P649" s="28"/>
      <c r="Q649" s="28"/>
      <c r="R649" s="28"/>
      <c r="S649" s="28"/>
      <c r="T649" s="28"/>
    </row>
    <row r="650" s="34" customFormat="1" spans="1:20">
      <c r="A650" s="151"/>
      <c r="B650" s="155"/>
      <c r="C650" s="153"/>
      <c r="D650" s="38"/>
      <c r="E650" s="39"/>
      <c r="F650" s="39"/>
      <c r="G650" s="38"/>
      <c r="H650" s="154"/>
      <c r="I650" s="160"/>
      <c r="J650" s="28"/>
      <c r="K650" s="29"/>
      <c r="L650" s="28"/>
      <c r="M650" s="28"/>
      <c r="N650" s="28"/>
      <c r="O650" s="28"/>
      <c r="P650" s="28"/>
      <c r="Q650" s="28"/>
      <c r="R650" s="28"/>
      <c r="S650" s="28"/>
      <c r="T650" s="28"/>
    </row>
    <row r="651" s="34" customFormat="1" spans="1:20">
      <c r="A651" s="35"/>
      <c r="B651" s="36"/>
      <c r="C651" s="37"/>
      <c r="D651" s="38"/>
      <c r="E651" s="39"/>
      <c r="F651" s="39"/>
      <c r="G651" s="38"/>
      <c r="H651" s="154"/>
      <c r="I651" s="160"/>
      <c r="J651" s="28"/>
      <c r="K651" s="29"/>
      <c r="L651" s="28"/>
      <c r="M651" s="28"/>
      <c r="N651" s="28"/>
      <c r="O651" s="28"/>
      <c r="P651" s="28"/>
      <c r="Q651" s="28"/>
      <c r="R651" s="28"/>
      <c r="S651" s="28"/>
      <c r="T651" s="28"/>
    </row>
    <row r="652" s="34" customFormat="1" spans="1:20">
      <c r="A652" s="35"/>
      <c r="B652" s="36"/>
      <c r="C652" s="37"/>
      <c r="D652" s="38"/>
      <c r="E652" s="39"/>
      <c r="F652" s="39"/>
      <c r="G652" s="38"/>
      <c r="H652" s="154"/>
      <c r="I652" s="160"/>
      <c r="J652" s="28"/>
      <c r="K652" s="29"/>
      <c r="L652" s="28"/>
      <c r="M652" s="28"/>
      <c r="N652" s="28"/>
      <c r="O652" s="28"/>
      <c r="P652" s="28"/>
      <c r="Q652" s="28"/>
      <c r="R652" s="28"/>
      <c r="S652" s="28"/>
      <c r="T652" s="28"/>
    </row>
    <row r="653" s="34" customFormat="1" spans="1:20">
      <c r="A653" s="35"/>
      <c r="B653" s="36"/>
      <c r="C653" s="37"/>
      <c r="D653" s="38"/>
      <c r="E653" s="39"/>
      <c r="F653" s="39"/>
      <c r="G653" s="38"/>
      <c r="H653" s="154"/>
      <c r="I653" s="160"/>
      <c r="J653" s="28"/>
      <c r="K653" s="29"/>
      <c r="L653" s="28"/>
      <c r="M653" s="28"/>
      <c r="N653" s="28"/>
      <c r="O653" s="28"/>
      <c r="P653" s="28"/>
      <c r="Q653" s="28"/>
      <c r="R653" s="28"/>
      <c r="S653" s="28"/>
      <c r="T653" s="28"/>
    </row>
    <row r="654" s="34" customFormat="1" spans="1:20">
      <c r="A654" s="35"/>
      <c r="B654" s="36"/>
      <c r="C654" s="37"/>
      <c r="D654" s="38"/>
      <c r="E654" s="39"/>
      <c r="F654" s="39"/>
      <c r="G654" s="38"/>
      <c r="H654" s="154"/>
      <c r="I654" s="160"/>
      <c r="J654" s="28"/>
      <c r="K654" s="29"/>
      <c r="L654" s="28"/>
      <c r="M654" s="28"/>
      <c r="N654" s="28"/>
      <c r="O654" s="28"/>
      <c r="P654" s="28"/>
      <c r="Q654" s="28"/>
      <c r="R654" s="28"/>
      <c r="S654" s="28"/>
      <c r="T654" s="28"/>
    </row>
    <row r="655" s="34" customFormat="1" spans="1:20">
      <c r="A655" s="35"/>
      <c r="B655" s="36"/>
      <c r="C655" s="37"/>
      <c r="D655" s="38"/>
      <c r="E655" s="39"/>
      <c r="F655" s="39"/>
      <c r="G655" s="38"/>
      <c r="H655" s="154"/>
      <c r="I655" s="160"/>
      <c r="J655" s="28"/>
      <c r="K655" s="29"/>
      <c r="L655" s="28"/>
      <c r="M655" s="28"/>
      <c r="N655" s="28"/>
      <c r="O655" s="28"/>
      <c r="P655" s="28"/>
      <c r="Q655" s="28"/>
      <c r="R655" s="28"/>
      <c r="S655" s="28"/>
      <c r="T655" s="28"/>
    </row>
    <row r="656" s="34" customFormat="1" spans="1:20">
      <c r="A656" s="35"/>
      <c r="B656" s="36"/>
      <c r="C656" s="37"/>
      <c r="D656" s="38"/>
      <c r="E656" s="39"/>
      <c r="F656" s="39"/>
      <c r="G656" s="38"/>
      <c r="H656" s="154"/>
      <c r="I656" s="160"/>
      <c r="J656" s="28"/>
      <c r="K656" s="29"/>
      <c r="L656" s="28"/>
      <c r="M656" s="28"/>
      <c r="N656" s="28"/>
      <c r="O656" s="28"/>
      <c r="P656" s="28"/>
      <c r="Q656" s="28"/>
      <c r="R656" s="28"/>
      <c r="S656" s="28"/>
      <c r="T656" s="28"/>
    </row>
    <row r="657" s="34" customFormat="1" spans="1:20">
      <c r="A657" s="35"/>
      <c r="B657" s="36"/>
      <c r="C657" s="37"/>
      <c r="D657" s="38"/>
      <c r="E657" s="39"/>
      <c r="F657" s="39"/>
      <c r="G657" s="38"/>
      <c r="H657" s="154"/>
      <c r="I657" s="160"/>
      <c r="J657" s="28"/>
      <c r="K657" s="29"/>
      <c r="L657" s="28"/>
      <c r="M657" s="28"/>
      <c r="N657" s="28"/>
      <c r="O657" s="28"/>
      <c r="P657" s="28"/>
      <c r="Q657" s="28"/>
      <c r="R657" s="28"/>
      <c r="S657" s="28"/>
      <c r="T657" s="28"/>
    </row>
    <row r="658" s="34" customFormat="1" spans="1:20">
      <c r="A658" s="35"/>
      <c r="B658" s="36"/>
      <c r="C658" s="37"/>
      <c r="D658" s="38"/>
      <c r="E658" s="39"/>
      <c r="F658" s="39"/>
      <c r="G658" s="38"/>
      <c r="H658" s="154"/>
      <c r="I658" s="160"/>
      <c r="J658" s="28"/>
      <c r="K658" s="29"/>
      <c r="L658" s="28"/>
      <c r="M658" s="28"/>
      <c r="N658" s="28"/>
      <c r="O658" s="28"/>
      <c r="P658" s="28"/>
      <c r="Q658" s="28"/>
      <c r="R658" s="28"/>
      <c r="S658" s="28"/>
      <c r="T658" s="28"/>
    </row>
    <row r="659" s="34" customFormat="1" spans="1:20">
      <c r="A659" s="35"/>
      <c r="B659" s="36"/>
      <c r="C659" s="37"/>
      <c r="D659" s="38"/>
      <c r="E659" s="39"/>
      <c r="F659" s="39"/>
      <c r="G659" s="38"/>
      <c r="H659" s="154"/>
      <c r="I659" s="160"/>
      <c r="J659" s="28"/>
      <c r="K659" s="29"/>
      <c r="L659" s="28"/>
      <c r="M659" s="28"/>
      <c r="N659" s="28"/>
      <c r="O659" s="28"/>
      <c r="P659" s="28"/>
      <c r="Q659" s="28"/>
      <c r="R659" s="28"/>
      <c r="S659" s="28"/>
      <c r="T659" s="28"/>
    </row>
    <row r="660" s="34" customFormat="1" spans="1:20">
      <c r="A660" s="35"/>
      <c r="B660" s="36"/>
      <c r="C660" s="37"/>
      <c r="D660" s="38"/>
      <c r="E660" s="39"/>
      <c r="F660" s="39"/>
      <c r="G660" s="38"/>
      <c r="H660" s="154"/>
      <c r="I660" s="160"/>
      <c r="J660" s="28"/>
      <c r="K660" s="29"/>
      <c r="L660" s="28"/>
      <c r="M660" s="28"/>
      <c r="N660" s="28"/>
      <c r="O660" s="28"/>
      <c r="P660" s="28"/>
      <c r="Q660" s="28"/>
      <c r="R660" s="28"/>
      <c r="S660" s="28"/>
      <c r="T660" s="28"/>
    </row>
    <row r="661" s="34" customFormat="1" spans="1:20">
      <c r="A661" s="35"/>
      <c r="B661" s="36"/>
      <c r="C661" s="37"/>
      <c r="D661" s="38"/>
      <c r="E661" s="39"/>
      <c r="F661" s="39"/>
      <c r="G661" s="38"/>
      <c r="H661" s="154"/>
      <c r="I661" s="160"/>
      <c r="J661" s="28"/>
      <c r="K661" s="29"/>
      <c r="L661" s="28"/>
      <c r="M661" s="28"/>
      <c r="N661" s="28"/>
      <c r="O661" s="28"/>
      <c r="P661" s="28"/>
      <c r="Q661" s="28"/>
      <c r="R661" s="28"/>
      <c r="S661" s="28"/>
      <c r="T661" s="28"/>
    </row>
    <row r="662" s="34" customFormat="1" spans="1:20">
      <c r="A662" s="35"/>
      <c r="B662" s="36"/>
      <c r="C662" s="37"/>
      <c r="D662" s="38"/>
      <c r="E662" s="39"/>
      <c r="F662" s="39"/>
      <c r="G662" s="38"/>
      <c r="H662" s="154"/>
      <c r="I662" s="160"/>
      <c r="J662" s="28"/>
      <c r="K662" s="29"/>
      <c r="L662" s="28"/>
      <c r="M662" s="28"/>
      <c r="N662" s="28"/>
      <c r="O662" s="28"/>
      <c r="P662" s="28"/>
      <c r="Q662" s="28"/>
      <c r="R662" s="28"/>
      <c r="S662" s="28"/>
      <c r="T662" s="28"/>
    </row>
    <row r="663" s="34" customFormat="1" spans="1:20">
      <c r="A663" s="35"/>
      <c r="B663" s="36"/>
      <c r="C663" s="37"/>
      <c r="D663" s="38"/>
      <c r="E663" s="39"/>
      <c r="F663" s="39"/>
      <c r="G663" s="38"/>
      <c r="H663" s="154"/>
      <c r="I663" s="160"/>
      <c r="J663" s="28"/>
      <c r="K663" s="29"/>
      <c r="L663" s="28"/>
      <c r="M663" s="28"/>
      <c r="N663" s="28"/>
      <c r="O663" s="28"/>
      <c r="P663" s="28"/>
      <c r="Q663" s="28"/>
      <c r="R663" s="28"/>
      <c r="S663" s="28"/>
      <c r="T663" s="28"/>
    </row>
    <row r="664" s="34" customFormat="1" spans="1:20">
      <c r="A664" s="35"/>
      <c r="B664" s="36"/>
      <c r="C664" s="37"/>
      <c r="D664" s="38"/>
      <c r="E664" s="39"/>
      <c r="F664" s="39"/>
      <c r="G664" s="38"/>
      <c r="H664" s="154"/>
      <c r="I664" s="160"/>
      <c r="J664" s="28"/>
      <c r="K664" s="29"/>
      <c r="L664" s="28"/>
      <c r="M664" s="28"/>
      <c r="N664" s="28"/>
      <c r="O664" s="28"/>
      <c r="P664" s="28"/>
      <c r="Q664" s="28"/>
      <c r="R664" s="28"/>
      <c r="S664" s="28"/>
      <c r="T664" s="28"/>
    </row>
    <row r="665" s="34" customFormat="1" spans="1:20">
      <c r="A665" s="35"/>
      <c r="B665" s="36"/>
      <c r="C665" s="37"/>
      <c r="D665" s="38"/>
      <c r="E665" s="39"/>
      <c r="F665" s="39"/>
      <c r="G665" s="38"/>
      <c r="H665" s="154"/>
      <c r="I665" s="160"/>
      <c r="J665" s="28"/>
      <c r="K665" s="29"/>
      <c r="L665" s="28"/>
      <c r="M665" s="28"/>
      <c r="N665" s="28"/>
      <c r="O665" s="28"/>
      <c r="P665" s="28"/>
      <c r="Q665" s="28"/>
      <c r="R665" s="28"/>
      <c r="S665" s="28"/>
      <c r="T665" s="28"/>
    </row>
    <row r="666" s="34" customFormat="1" spans="1:20">
      <c r="A666" s="35"/>
      <c r="B666" s="36"/>
      <c r="C666" s="37"/>
      <c r="D666" s="38"/>
      <c r="E666" s="39"/>
      <c r="F666" s="39"/>
      <c r="G666" s="38"/>
      <c r="H666" s="154"/>
      <c r="I666" s="160"/>
      <c r="J666" s="28"/>
      <c r="K666" s="29"/>
      <c r="L666" s="28"/>
      <c r="M666" s="28"/>
      <c r="N666" s="28"/>
      <c r="O666" s="28"/>
      <c r="P666" s="28"/>
      <c r="Q666" s="28"/>
      <c r="R666" s="28"/>
      <c r="S666" s="28"/>
      <c r="T666" s="28"/>
    </row>
    <row r="667" s="34" customFormat="1" spans="1:20">
      <c r="A667" s="35"/>
      <c r="B667" s="36"/>
      <c r="C667" s="37"/>
      <c r="D667" s="38"/>
      <c r="E667" s="39"/>
      <c r="F667" s="39"/>
      <c r="G667" s="38"/>
      <c r="H667" s="154"/>
      <c r="I667" s="160"/>
      <c r="J667" s="28"/>
      <c r="K667" s="29"/>
      <c r="L667" s="28"/>
      <c r="M667" s="28"/>
      <c r="N667" s="28"/>
      <c r="O667" s="28"/>
      <c r="P667" s="28"/>
      <c r="Q667" s="28"/>
      <c r="R667" s="28"/>
      <c r="S667" s="28"/>
      <c r="T667" s="28"/>
    </row>
    <row r="668" s="34" customFormat="1" spans="1:20">
      <c r="A668" s="35"/>
      <c r="B668" s="36"/>
      <c r="C668" s="37"/>
      <c r="D668" s="38"/>
      <c r="E668" s="39"/>
      <c r="F668" s="39"/>
      <c r="G668" s="38"/>
      <c r="H668" s="154"/>
      <c r="I668" s="160"/>
      <c r="J668" s="28"/>
      <c r="K668" s="29"/>
      <c r="L668" s="28"/>
      <c r="M668" s="28"/>
      <c r="N668" s="28"/>
      <c r="O668" s="28"/>
      <c r="P668" s="28"/>
      <c r="Q668" s="28"/>
      <c r="R668" s="28"/>
      <c r="S668" s="28"/>
      <c r="T668" s="28"/>
    </row>
    <row r="669" s="34" customFormat="1" spans="1:20">
      <c r="A669" s="35"/>
      <c r="B669" s="36"/>
      <c r="C669" s="37"/>
      <c r="D669" s="38"/>
      <c r="E669" s="39"/>
      <c r="F669" s="39"/>
      <c r="G669" s="38"/>
      <c r="H669" s="154"/>
      <c r="I669" s="160"/>
      <c r="J669" s="28"/>
      <c r="K669" s="29"/>
      <c r="L669" s="28"/>
      <c r="M669" s="28"/>
      <c r="N669" s="28"/>
      <c r="O669" s="28"/>
      <c r="P669" s="28"/>
      <c r="Q669" s="28"/>
      <c r="R669" s="28"/>
      <c r="S669" s="28"/>
      <c r="T669" s="28"/>
    </row>
    <row r="670" s="34" customFormat="1" spans="1:20">
      <c r="A670" s="35"/>
      <c r="B670" s="36"/>
      <c r="C670" s="37"/>
      <c r="D670" s="38"/>
      <c r="E670" s="39"/>
      <c r="F670" s="39"/>
      <c r="G670" s="38"/>
      <c r="H670" s="154"/>
      <c r="I670" s="160"/>
      <c r="J670" s="28"/>
      <c r="K670" s="29"/>
      <c r="L670" s="28"/>
      <c r="M670" s="28"/>
      <c r="N670" s="28"/>
      <c r="O670" s="28"/>
      <c r="P670" s="28"/>
      <c r="Q670" s="28"/>
      <c r="R670" s="28"/>
      <c r="S670" s="28"/>
      <c r="T670" s="28"/>
    </row>
    <row r="671" s="34" customFormat="1" spans="1:20">
      <c r="A671" s="35"/>
      <c r="B671" s="36"/>
      <c r="C671" s="37"/>
      <c r="D671" s="38"/>
      <c r="E671" s="39"/>
      <c r="F671" s="39"/>
      <c r="G671" s="38"/>
      <c r="H671" s="154"/>
      <c r="I671" s="160"/>
      <c r="J671" s="28"/>
      <c r="K671" s="29"/>
      <c r="L671" s="28"/>
      <c r="M671" s="28"/>
      <c r="N671" s="28"/>
      <c r="O671" s="28"/>
      <c r="P671" s="28"/>
      <c r="Q671" s="28"/>
      <c r="R671" s="28"/>
      <c r="S671" s="28"/>
      <c r="T671" s="28"/>
    </row>
    <row r="672" s="34" customFormat="1" spans="1:20">
      <c r="A672" s="35"/>
      <c r="B672" s="36"/>
      <c r="C672" s="37"/>
      <c r="D672" s="38"/>
      <c r="E672" s="39"/>
      <c r="F672" s="39"/>
      <c r="G672" s="38"/>
      <c r="H672" s="154"/>
      <c r="I672" s="160"/>
      <c r="J672" s="28"/>
      <c r="K672" s="29"/>
      <c r="L672" s="28"/>
      <c r="M672" s="28"/>
      <c r="N672" s="28"/>
      <c r="O672" s="28"/>
      <c r="P672" s="28"/>
      <c r="Q672" s="28"/>
      <c r="R672" s="28"/>
      <c r="S672" s="28"/>
      <c r="T672" s="28"/>
    </row>
    <row r="673" s="34" customFormat="1" spans="1:20">
      <c r="A673" s="35"/>
      <c r="B673" s="36"/>
      <c r="C673" s="37"/>
      <c r="D673" s="38"/>
      <c r="E673" s="39"/>
      <c r="F673" s="39"/>
      <c r="G673" s="38"/>
      <c r="H673" s="154"/>
      <c r="I673" s="160"/>
      <c r="J673" s="28"/>
      <c r="K673" s="29"/>
      <c r="L673" s="28"/>
      <c r="M673" s="28"/>
      <c r="N673" s="28"/>
      <c r="O673" s="28"/>
      <c r="P673" s="28"/>
      <c r="Q673" s="28"/>
      <c r="R673" s="28"/>
      <c r="S673" s="28"/>
      <c r="T673" s="28"/>
    </row>
    <row r="674" s="34" customFormat="1" spans="1:20">
      <c r="A674" s="35"/>
      <c r="B674" s="36"/>
      <c r="C674" s="37"/>
      <c r="D674" s="38"/>
      <c r="E674" s="39"/>
      <c r="F674" s="39"/>
      <c r="G674" s="38"/>
      <c r="H674" s="154"/>
      <c r="I674" s="160"/>
      <c r="J674" s="28"/>
      <c r="K674" s="29"/>
      <c r="L674" s="28"/>
      <c r="M674" s="28"/>
      <c r="N674" s="28"/>
      <c r="O674" s="28"/>
      <c r="P674" s="28"/>
      <c r="Q674" s="28"/>
      <c r="R674" s="28"/>
      <c r="S674" s="28"/>
      <c r="T674" s="28"/>
    </row>
    <row r="675" s="34" customFormat="1" spans="1:20">
      <c r="A675" s="35"/>
      <c r="B675" s="36"/>
      <c r="C675" s="37"/>
      <c r="D675" s="38"/>
      <c r="E675" s="39"/>
      <c r="F675" s="39"/>
      <c r="G675" s="38"/>
      <c r="H675" s="154"/>
      <c r="I675" s="160"/>
      <c r="J675" s="28"/>
      <c r="K675" s="29"/>
      <c r="L675" s="28"/>
      <c r="M675" s="28"/>
      <c r="N675" s="28"/>
      <c r="O675" s="28"/>
      <c r="P675" s="28"/>
      <c r="Q675" s="28"/>
      <c r="R675" s="28"/>
      <c r="S675" s="28"/>
      <c r="T675" s="28"/>
    </row>
    <row r="676" s="34" customFormat="1" spans="1:20">
      <c r="A676" s="35"/>
      <c r="B676" s="36"/>
      <c r="C676" s="37"/>
      <c r="D676" s="38"/>
      <c r="E676" s="39"/>
      <c r="F676" s="39"/>
      <c r="G676" s="38"/>
      <c r="H676" s="154"/>
      <c r="I676" s="160"/>
      <c r="J676" s="28"/>
      <c r="K676" s="29"/>
      <c r="L676" s="28"/>
      <c r="M676" s="28"/>
      <c r="N676" s="28"/>
      <c r="O676" s="28"/>
      <c r="P676" s="28"/>
      <c r="Q676" s="28"/>
      <c r="R676" s="28"/>
      <c r="S676" s="28"/>
      <c r="T676" s="28"/>
    </row>
    <row r="677" s="34" customFormat="1" spans="1:20">
      <c r="A677" s="35"/>
      <c r="B677" s="36"/>
      <c r="C677" s="37"/>
      <c r="D677" s="38"/>
      <c r="E677" s="39"/>
      <c r="F677" s="39"/>
      <c r="G677" s="38"/>
      <c r="H677" s="154"/>
      <c r="I677" s="160"/>
      <c r="J677" s="28"/>
      <c r="K677" s="29"/>
      <c r="L677" s="28"/>
      <c r="M677" s="28"/>
      <c r="N677" s="28"/>
      <c r="O677" s="28"/>
      <c r="P677" s="28"/>
      <c r="Q677" s="28"/>
      <c r="R677" s="28"/>
      <c r="S677" s="28"/>
      <c r="T677" s="28"/>
    </row>
    <row r="678" s="34" customFormat="1" spans="1:20">
      <c r="A678" s="35"/>
      <c r="B678" s="36"/>
      <c r="C678" s="37"/>
      <c r="D678" s="38"/>
      <c r="E678" s="39"/>
      <c r="F678" s="39"/>
      <c r="G678" s="38"/>
      <c r="H678" s="154"/>
      <c r="I678" s="160"/>
      <c r="J678" s="28"/>
      <c r="K678" s="29"/>
      <c r="L678" s="28"/>
      <c r="M678" s="28"/>
      <c r="N678" s="28"/>
      <c r="O678" s="28"/>
      <c r="P678" s="28"/>
      <c r="Q678" s="28"/>
      <c r="R678" s="28"/>
      <c r="S678" s="28"/>
      <c r="T678" s="28"/>
    </row>
    <row r="679" s="34" customFormat="1" spans="1:20">
      <c r="A679" s="35"/>
      <c r="B679" s="36"/>
      <c r="C679" s="37"/>
      <c r="D679" s="38"/>
      <c r="E679" s="39"/>
      <c r="F679" s="39"/>
      <c r="G679" s="38"/>
      <c r="H679" s="154"/>
      <c r="I679" s="160"/>
      <c r="J679" s="28"/>
      <c r="K679" s="29"/>
      <c r="L679" s="28"/>
      <c r="M679" s="28"/>
      <c r="N679" s="28"/>
      <c r="O679" s="28"/>
      <c r="P679" s="28"/>
      <c r="Q679" s="28"/>
      <c r="R679" s="28"/>
      <c r="S679" s="28"/>
      <c r="T679" s="28"/>
    </row>
    <row r="680" s="34" customFormat="1" spans="1:20">
      <c r="A680" s="35"/>
      <c r="B680" s="36"/>
      <c r="C680" s="37"/>
      <c r="D680" s="38"/>
      <c r="E680" s="39"/>
      <c r="F680" s="39"/>
      <c r="G680" s="38"/>
      <c r="H680" s="154"/>
      <c r="I680" s="160"/>
      <c r="J680" s="28"/>
      <c r="K680" s="29"/>
      <c r="L680" s="28"/>
      <c r="M680" s="28"/>
      <c r="N680" s="28"/>
      <c r="O680" s="28"/>
      <c r="P680" s="28"/>
      <c r="Q680" s="28"/>
      <c r="R680" s="28"/>
      <c r="S680" s="28"/>
      <c r="T680" s="28"/>
    </row>
    <row r="681" s="34" customFormat="1" spans="1:20">
      <c r="A681" s="35"/>
      <c r="B681" s="36"/>
      <c r="C681" s="37"/>
      <c r="D681" s="38"/>
      <c r="E681" s="39"/>
      <c r="F681" s="39"/>
      <c r="G681" s="38"/>
      <c r="H681" s="154"/>
      <c r="I681" s="160"/>
      <c r="J681" s="28"/>
      <c r="K681" s="29"/>
      <c r="L681" s="28"/>
      <c r="M681" s="28"/>
      <c r="N681" s="28"/>
      <c r="O681" s="28"/>
      <c r="P681" s="28"/>
      <c r="Q681" s="28"/>
      <c r="R681" s="28"/>
      <c r="S681" s="28"/>
      <c r="T681" s="28"/>
    </row>
    <row r="682" s="34" customFormat="1" spans="1:20">
      <c r="A682" s="35"/>
      <c r="B682" s="36"/>
      <c r="C682" s="37"/>
      <c r="D682" s="38"/>
      <c r="E682" s="39"/>
      <c r="F682" s="39"/>
      <c r="G682" s="38"/>
      <c r="H682" s="154"/>
      <c r="I682" s="160"/>
      <c r="J682" s="28"/>
      <c r="K682" s="29"/>
      <c r="L682" s="28"/>
      <c r="M682" s="28"/>
      <c r="N682" s="28"/>
      <c r="O682" s="28"/>
      <c r="P682" s="28"/>
      <c r="Q682" s="28"/>
      <c r="R682" s="28"/>
      <c r="S682" s="28"/>
      <c r="T682" s="28"/>
    </row>
    <row r="683" s="34" customFormat="1" spans="1:20">
      <c r="A683" s="35"/>
      <c r="B683" s="36"/>
      <c r="C683" s="37"/>
      <c r="D683" s="38"/>
      <c r="E683" s="39"/>
      <c r="F683" s="39"/>
      <c r="G683" s="38"/>
      <c r="H683" s="154"/>
      <c r="I683" s="160"/>
      <c r="J683" s="28"/>
      <c r="K683" s="29"/>
      <c r="L683" s="28"/>
      <c r="M683" s="28"/>
      <c r="N683" s="28"/>
      <c r="O683" s="28"/>
      <c r="P683" s="28"/>
      <c r="Q683" s="28"/>
      <c r="R683" s="28"/>
      <c r="S683" s="28"/>
      <c r="T683" s="28"/>
    </row>
    <row r="684" s="34" customFormat="1" spans="1:20">
      <c r="A684" s="35"/>
      <c r="B684" s="36"/>
      <c r="C684" s="37"/>
      <c r="D684" s="38"/>
      <c r="E684" s="39"/>
      <c r="F684" s="39"/>
      <c r="G684" s="38"/>
      <c r="H684" s="154"/>
      <c r="I684" s="160"/>
      <c r="J684" s="28"/>
      <c r="K684" s="29"/>
      <c r="L684" s="28"/>
      <c r="M684" s="28"/>
      <c r="N684" s="28"/>
      <c r="O684" s="28"/>
      <c r="P684" s="28"/>
      <c r="Q684" s="28"/>
      <c r="R684" s="28"/>
      <c r="S684" s="28"/>
      <c r="T684" s="28"/>
    </row>
    <row r="685" s="34" customFormat="1" spans="1:20">
      <c r="A685" s="35"/>
      <c r="B685" s="36"/>
      <c r="C685" s="37"/>
      <c r="D685" s="38"/>
      <c r="E685" s="39"/>
      <c r="F685" s="39"/>
      <c r="G685" s="38"/>
      <c r="H685" s="154"/>
      <c r="I685" s="160"/>
      <c r="J685" s="28"/>
      <c r="K685" s="29"/>
      <c r="L685" s="28"/>
      <c r="M685" s="28"/>
      <c r="N685" s="28"/>
      <c r="O685" s="28"/>
      <c r="P685" s="28"/>
      <c r="Q685" s="28"/>
      <c r="R685" s="28"/>
      <c r="S685" s="28"/>
      <c r="T685" s="28"/>
    </row>
    <row r="686" s="34" customFormat="1" spans="1:20">
      <c r="A686" s="35"/>
      <c r="B686" s="36"/>
      <c r="C686" s="37"/>
      <c r="D686" s="38"/>
      <c r="E686" s="39"/>
      <c r="F686" s="39"/>
      <c r="G686" s="38"/>
      <c r="H686" s="154"/>
      <c r="I686" s="160"/>
      <c r="J686" s="28"/>
      <c r="K686" s="29"/>
      <c r="L686" s="28"/>
      <c r="M686" s="28"/>
      <c r="N686" s="28"/>
      <c r="O686" s="28"/>
      <c r="P686" s="28"/>
      <c r="Q686" s="28"/>
      <c r="R686" s="28"/>
      <c r="S686" s="28"/>
      <c r="T686" s="28"/>
    </row>
    <row r="687" s="34" customFormat="1" spans="1:20">
      <c r="A687" s="35"/>
      <c r="B687" s="36"/>
      <c r="C687" s="37"/>
      <c r="D687" s="38"/>
      <c r="E687" s="39"/>
      <c r="F687" s="39"/>
      <c r="G687" s="38"/>
      <c r="H687" s="154"/>
      <c r="I687" s="160"/>
      <c r="J687" s="28"/>
      <c r="K687" s="29"/>
      <c r="L687" s="28"/>
      <c r="M687" s="28"/>
      <c r="N687" s="28"/>
      <c r="O687" s="28"/>
      <c r="P687" s="28"/>
      <c r="Q687" s="28"/>
      <c r="R687" s="28"/>
      <c r="S687" s="28"/>
      <c r="T687" s="28"/>
    </row>
    <row r="688" s="34" customFormat="1" spans="1:20">
      <c r="A688" s="35"/>
      <c r="B688" s="36"/>
      <c r="C688" s="37"/>
      <c r="D688" s="38"/>
      <c r="E688" s="39"/>
      <c r="F688" s="39"/>
      <c r="G688" s="38"/>
      <c r="H688" s="154"/>
      <c r="I688" s="160"/>
      <c r="J688" s="28"/>
      <c r="K688" s="29"/>
      <c r="L688" s="28"/>
      <c r="M688" s="28"/>
      <c r="N688" s="28"/>
      <c r="O688" s="28"/>
      <c r="P688" s="28"/>
      <c r="Q688" s="28"/>
      <c r="R688" s="28"/>
      <c r="S688" s="28"/>
      <c r="T688" s="28"/>
    </row>
    <row r="689" s="34" customFormat="1" spans="1:20">
      <c r="A689" s="35"/>
      <c r="B689" s="36"/>
      <c r="C689" s="37"/>
      <c r="D689" s="38"/>
      <c r="E689" s="39"/>
      <c r="F689" s="39"/>
      <c r="G689" s="38"/>
      <c r="H689" s="154"/>
      <c r="I689" s="160"/>
      <c r="J689" s="28"/>
      <c r="K689" s="29"/>
      <c r="L689" s="28"/>
      <c r="M689" s="28"/>
      <c r="N689" s="28"/>
      <c r="O689" s="28"/>
      <c r="P689" s="28"/>
      <c r="Q689" s="28"/>
      <c r="R689" s="28"/>
      <c r="S689" s="28"/>
      <c r="T689" s="28"/>
    </row>
    <row r="690" s="34" customFormat="1" spans="1:20">
      <c r="A690" s="35"/>
      <c r="B690" s="36"/>
      <c r="C690" s="37"/>
      <c r="D690" s="38"/>
      <c r="E690" s="39"/>
      <c r="F690" s="39"/>
      <c r="G690" s="38"/>
      <c r="H690" s="154"/>
      <c r="I690" s="160"/>
      <c r="J690" s="28"/>
      <c r="K690" s="29"/>
      <c r="L690" s="28"/>
      <c r="M690" s="28"/>
      <c r="N690" s="28"/>
      <c r="O690" s="28"/>
      <c r="P690" s="28"/>
      <c r="Q690" s="28"/>
      <c r="R690" s="28"/>
      <c r="S690" s="28"/>
      <c r="T690" s="28"/>
    </row>
    <row r="691" s="34" customFormat="1" spans="1:20">
      <c r="A691" s="35"/>
      <c r="B691" s="36"/>
      <c r="C691" s="37"/>
      <c r="D691" s="38"/>
      <c r="E691" s="39"/>
      <c r="F691" s="39"/>
      <c r="G691" s="38"/>
      <c r="H691" s="154"/>
      <c r="I691" s="160"/>
      <c r="J691" s="28"/>
      <c r="K691" s="29"/>
      <c r="L691" s="28"/>
      <c r="M691" s="28"/>
      <c r="N691" s="28"/>
      <c r="O691" s="28"/>
      <c r="P691" s="28"/>
      <c r="Q691" s="28"/>
      <c r="R691" s="28"/>
      <c r="S691" s="28"/>
      <c r="T691" s="28"/>
    </row>
    <row r="692" s="34" customFormat="1" spans="1:20">
      <c r="A692" s="35"/>
      <c r="B692" s="36"/>
      <c r="C692" s="37"/>
      <c r="D692" s="38"/>
      <c r="E692" s="39"/>
      <c r="F692" s="39"/>
      <c r="G692" s="38"/>
      <c r="H692" s="154"/>
      <c r="I692" s="160"/>
      <c r="J692" s="28"/>
      <c r="K692" s="29"/>
      <c r="L692" s="28"/>
      <c r="M692" s="28"/>
      <c r="N692" s="28"/>
      <c r="O692" s="28"/>
      <c r="P692" s="28"/>
      <c r="Q692" s="28"/>
      <c r="R692" s="28"/>
      <c r="S692" s="28"/>
      <c r="T692" s="28"/>
    </row>
    <row r="693" s="34" customFormat="1" spans="1:20">
      <c r="A693" s="35"/>
      <c r="B693" s="36"/>
      <c r="C693" s="37"/>
      <c r="D693" s="38"/>
      <c r="E693" s="39"/>
      <c r="F693" s="39"/>
      <c r="G693" s="38"/>
      <c r="H693" s="154"/>
      <c r="I693" s="160"/>
      <c r="J693" s="28"/>
      <c r="K693" s="29"/>
      <c r="L693" s="28"/>
      <c r="M693" s="28"/>
      <c r="N693" s="28"/>
      <c r="O693" s="28"/>
      <c r="P693" s="28"/>
      <c r="Q693" s="28"/>
      <c r="R693" s="28"/>
      <c r="S693" s="28"/>
      <c r="T693" s="28"/>
    </row>
    <row r="694" s="34" customFormat="1" spans="1:20">
      <c r="A694" s="35"/>
      <c r="B694" s="36"/>
      <c r="C694" s="37"/>
      <c r="D694" s="38"/>
      <c r="E694" s="39"/>
      <c r="F694" s="39"/>
      <c r="G694" s="38"/>
      <c r="H694" s="154"/>
      <c r="I694" s="160"/>
      <c r="J694" s="28"/>
      <c r="K694" s="29"/>
      <c r="L694" s="28"/>
      <c r="M694" s="28"/>
      <c r="N694" s="28"/>
      <c r="O694" s="28"/>
      <c r="P694" s="28"/>
      <c r="Q694" s="28"/>
      <c r="R694" s="28"/>
      <c r="S694" s="28"/>
      <c r="T694" s="28"/>
    </row>
    <row r="695" s="34" customFormat="1" spans="1:20">
      <c r="A695" s="35"/>
      <c r="B695" s="36"/>
      <c r="C695" s="37"/>
      <c r="D695" s="38"/>
      <c r="E695" s="39"/>
      <c r="F695" s="39"/>
      <c r="G695" s="38"/>
      <c r="H695" s="154"/>
      <c r="I695" s="160"/>
      <c r="J695" s="28"/>
      <c r="K695" s="29"/>
      <c r="L695" s="28"/>
      <c r="M695" s="28"/>
      <c r="N695" s="28"/>
      <c r="O695" s="28"/>
      <c r="P695" s="28"/>
      <c r="Q695" s="28"/>
      <c r="R695" s="28"/>
      <c r="S695" s="28"/>
      <c r="T695" s="28"/>
    </row>
    <row r="696" s="34" customFormat="1" spans="1:20">
      <c r="A696" s="35"/>
      <c r="B696" s="36"/>
      <c r="C696" s="37"/>
      <c r="D696" s="38"/>
      <c r="E696" s="39"/>
      <c r="F696" s="39"/>
      <c r="G696" s="38"/>
      <c r="H696" s="154"/>
      <c r="I696" s="160"/>
      <c r="J696" s="28"/>
      <c r="K696" s="29"/>
      <c r="L696" s="28"/>
      <c r="M696" s="28"/>
      <c r="N696" s="28"/>
      <c r="O696" s="28"/>
      <c r="P696" s="28"/>
      <c r="Q696" s="28"/>
      <c r="R696" s="28"/>
      <c r="S696" s="28"/>
      <c r="T696" s="28"/>
    </row>
    <row r="697" s="34" customFormat="1" spans="1:20">
      <c r="A697" s="35"/>
      <c r="B697" s="36"/>
      <c r="C697" s="37"/>
      <c r="D697" s="38"/>
      <c r="E697" s="39"/>
      <c r="F697" s="39"/>
      <c r="G697" s="38"/>
      <c r="H697" s="154"/>
      <c r="I697" s="160"/>
      <c r="J697" s="28"/>
      <c r="K697" s="29"/>
      <c r="L697" s="28"/>
      <c r="M697" s="28"/>
      <c r="N697" s="28"/>
      <c r="O697" s="28"/>
      <c r="P697" s="28"/>
      <c r="Q697" s="28"/>
      <c r="R697" s="28"/>
      <c r="S697" s="28"/>
      <c r="T697" s="28"/>
    </row>
    <row r="698" s="34" customFormat="1" spans="1:20">
      <c r="A698" s="35"/>
      <c r="B698" s="36"/>
      <c r="C698" s="37"/>
      <c r="D698" s="38"/>
      <c r="E698" s="39"/>
      <c r="F698" s="39"/>
      <c r="G698" s="38"/>
      <c r="H698" s="154"/>
      <c r="I698" s="160"/>
      <c r="J698" s="28"/>
      <c r="K698" s="29"/>
      <c r="L698" s="28"/>
      <c r="M698" s="28"/>
      <c r="N698" s="28"/>
      <c r="O698" s="28"/>
      <c r="P698" s="28"/>
      <c r="Q698" s="28"/>
      <c r="R698" s="28"/>
      <c r="S698" s="28"/>
      <c r="T698" s="28"/>
    </row>
    <row r="699" s="34" customFormat="1" spans="1:20">
      <c r="A699" s="35"/>
      <c r="B699" s="36"/>
      <c r="C699" s="37"/>
      <c r="D699" s="38"/>
      <c r="E699" s="39"/>
      <c r="F699" s="39"/>
      <c r="G699" s="38"/>
      <c r="H699" s="154"/>
      <c r="I699" s="160"/>
      <c r="J699" s="28"/>
      <c r="K699" s="29"/>
      <c r="L699" s="28"/>
      <c r="M699" s="28"/>
      <c r="N699" s="28"/>
      <c r="O699" s="28"/>
      <c r="P699" s="28"/>
      <c r="Q699" s="28"/>
      <c r="R699" s="28"/>
      <c r="S699" s="28"/>
      <c r="T699" s="28"/>
    </row>
    <row r="700" s="34" customFormat="1" spans="1:20">
      <c r="A700" s="35"/>
      <c r="B700" s="36"/>
      <c r="C700" s="37"/>
      <c r="D700" s="38"/>
      <c r="E700" s="39"/>
      <c r="F700" s="39"/>
      <c r="G700" s="38"/>
      <c r="H700" s="154"/>
      <c r="I700" s="160"/>
      <c r="J700" s="28"/>
      <c r="K700" s="29"/>
      <c r="L700" s="28"/>
      <c r="M700" s="28"/>
      <c r="N700" s="28"/>
      <c r="O700" s="28"/>
      <c r="P700" s="28"/>
      <c r="Q700" s="28"/>
      <c r="R700" s="28"/>
      <c r="S700" s="28"/>
      <c r="T700" s="28"/>
    </row>
    <row r="701" s="34" customFormat="1" spans="1:20">
      <c r="A701" s="35"/>
      <c r="B701" s="36"/>
      <c r="C701" s="37"/>
      <c r="D701" s="38"/>
      <c r="E701" s="39"/>
      <c r="F701" s="39"/>
      <c r="G701" s="38"/>
      <c r="H701" s="154"/>
      <c r="I701" s="160"/>
      <c r="J701" s="28"/>
      <c r="K701" s="29"/>
      <c r="L701" s="28"/>
      <c r="M701" s="28"/>
      <c r="N701" s="28"/>
      <c r="O701" s="28"/>
      <c r="P701" s="28"/>
      <c r="Q701" s="28"/>
      <c r="R701" s="28"/>
      <c r="S701" s="28"/>
      <c r="T701" s="28"/>
    </row>
    <row r="702" s="34" customFormat="1" spans="1:20">
      <c r="A702" s="35"/>
      <c r="B702" s="36"/>
      <c r="C702" s="37"/>
      <c r="D702" s="38"/>
      <c r="E702" s="39"/>
      <c r="F702" s="39"/>
      <c r="G702" s="38"/>
      <c r="H702" s="154"/>
      <c r="I702" s="160"/>
      <c r="J702" s="28"/>
      <c r="K702" s="29"/>
      <c r="L702" s="28"/>
      <c r="M702" s="28"/>
      <c r="N702" s="28"/>
      <c r="O702" s="28"/>
      <c r="P702" s="28"/>
      <c r="Q702" s="28"/>
      <c r="R702" s="28"/>
      <c r="S702" s="28"/>
      <c r="T702" s="28"/>
    </row>
    <row r="703" s="34" customFormat="1" spans="1:20">
      <c r="A703" s="35"/>
      <c r="B703" s="36"/>
      <c r="C703" s="37"/>
      <c r="D703" s="38"/>
      <c r="E703" s="39"/>
      <c r="F703" s="39"/>
      <c r="G703" s="38"/>
      <c r="H703" s="154"/>
      <c r="I703" s="160"/>
      <c r="J703" s="28"/>
      <c r="K703" s="29"/>
      <c r="L703" s="28"/>
      <c r="M703" s="28"/>
      <c r="N703" s="28"/>
      <c r="O703" s="28"/>
      <c r="P703" s="28"/>
      <c r="Q703" s="28"/>
      <c r="R703" s="28"/>
      <c r="S703" s="28"/>
      <c r="T703" s="28"/>
    </row>
    <row r="704" s="34" customFormat="1" spans="1:20">
      <c r="A704" s="35"/>
      <c r="B704" s="36"/>
      <c r="C704" s="37"/>
      <c r="D704" s="38"/>
      <c r="E704" s="39"/>
      <c r="F704" s="39"/>
      <c r="G704" s="38"/>
      <c r="H704" s="154"/>
      <c r="I704" s="160"/>
      <c r="J704" s="28"/>
      <c r="K704" s="29"/>
      <c r="L704" s="28"/>
      <c r="M704" s="28"/>
      <c r="N704" s="28"/>
      <c r="O704" s="28"/>
      <c r="P704" s="28"/>
      <c r="Q704" s="28"/>
      <c r="R704" s="28"/>
      <c r="S704" s="28"/>
      <c r="T704" s="28"/>
    </row>
    <row r="705" s="34" customFormat="1" spans="1:20">
      <c r="A705" s="35"/>
      <c r="B705" s="36"/>
      <c r="C705" s="37"/>
      <c r="D705" s="38"/>
      <c r="E705" s="39"/>
      <c r="F705" s="39"/>
      <c r="G705" s="38"/>
      <c r="H705" s="154"/>
      <c r="I705" s="160"/>
      <c r="J705" s="28"/>
      <c r="K705" s="29"/>
      <c r="L705" s="28"/>
      <c r="M705" s="28"/>
      <c r="N705" s="28"/>
      <c r="O705" s="28"/>
      <c r="P705" s="28"/>
      <c r="Q705" s="28"/>
      <c r="R705" s="28"/>
      <c r="S705" s="28"/>
      <c r="T705" s="28"/>
    </row>
    <row r="706" s="34" customFormat="1" spans="1:20">
      <c r="A706" s="35"/>
      <c r="B706" s="36"/>
      <c r="C706" s="37"/>
      <c r="D706" s="38"/>
      <c r="E706" s="39"/>
      <c r="F706" s="39"/>
      <c r="G706" s="38"/>
      <c r="H706" s="154"/>
      <c r="I706" s="41"/>
      <c r="J706" s="28"/>
      <c r="K706" s="29"/>
      <c r="L706" s="28"/>
      <c r="M706" s="28"/>
      <c r="N706" s="28"/>
      <c r="O706" s="28"/>
      <c r="P706" s="28"/>
      <c r="Q706" s="28"/>
      <c r="R706" s="28"/>
      <c r="S706" s="28"/>
      <c r="T706" s="28"/>
    </row>
    <row r="707" s="34" customFormat="1" spans="1:20">
      <c r="A707" s="35"/>
      <c r="B707" s="36"/>
      <c r="C707" s="37"/>
      <c r="D707" s="38"/>
      <c r="E707" s="39"/>
      <c r="F707" s="39"/>
      <c r="G707" s="38"/>
      <c r="H707" s="154"/>
      <c r="I707" s="41"/>
      <c r="J707" s="28"/>
      <c r="K707" s="29"/>
      <c r="L707" s="28"/>
      <c r="M707" s="28"/>
      <c r="N707" s="28"/>
      <c r="O707" s="28"/>
      <c r="P707" s="28"/>
      <c r="Q707" s="28"/>
      <c r="R707" s="28"/>
      <c r="S707" s="28"/>
      <c r="T707" s="28"/>
    </row>
    <row r="708" spans="8:8">
      <c r="H708" s="154"/>
    </row>
    <row r="709" spans="1:7">
      <c r="A709" s="42"/>
      <c r="C709" s="161"/>
      <c r="D709" s="161"/>
      <c r="E709" s="162"/>
      <c r="F709" s="162"/>
      <c r="G709" s="161"/>
    </row>
    <row r="710" spans="1:7">
      <c r="A710" s="42"/>
      <c r="C710" s="161"/>
      <c r="D710" s="161"/>
      <c r="E710" s="162"/>
      <c r="F710" s="162"/>
      <c r="G710" s="161"/>
    </row>
    <row r="711" spans="1:7">
      <c r="A711" s="42"/>
      <c r="C711" s="161"/>
      <c r="D711" s="161"/>
      <c r="E711" s="162"/>
      <c r="F711" s="162"/>
      <c r="G711" s="161"/>
    </row>
  </sheetData>
  <sheetProtection selectLockedCells="1" selectUnlockedCells="1"/>
  <mergeCells count="37">
    <mergeCell ref="B1:I1"/>
    <mergeCell ref="A2:B2"/>
    <mergeCell ref="C2:D2"/>
    <mergeCell ref="H2:I2"/>
    <mergeCell ref="D6:E6"/>
    <mergeCell ref="H6:I6"/>
    <mergeCell ref="H7:I7"/>
    <mergeCell ref="C29:E29"/>
    <mergeCell ref="C55:E55"/>
    <mergeCell ref="C95:E95"/>
    <mergeCell ref="C107:E107"/>
    <mergeCell ref="C116:E116"/>
    <mergeCell ref="C138:E138"/>
    <mergeCell ref="C219:E219"/>
    <mergeCell ref="C256:E256"/>
    <mergeCell ref="C352:E352"/>
    <mergeCell ref="C363:E363"/>
    <mergeCell ref="C386:E386"/>
    <mergeCell ref="C410:E410"/>
    <mergeCell ref="C451:E451"/>
    <mergeCell ref="C466:E466"/>
    <mergeCell ref="C479:E479"/>
    <mergeCell ref="C578:E578"/>
    <mergeCell ref="C589:E589"/>
    <mergeCell ref="C624:E624"/>
    <mergeCell ref="C630:E630"/>
    <mergeCell ref="C636:E636"/>
    <mergeCell ref="C643:E643"/>
    <mergeCell ref="A644:G644"/>
    <mergeCell ref="A645:D645"/>
    <mergeCell ref="E645:G645"/>
    <mergeCell ref="A646:D646"/>
    <mergeCell ref="A6:A7"/>
    <mergeCell ref="B6:B7"/>
    <mergeCell ref="C6:C7"/>
    <mergeCell ref="A3:B5"/>
    <mergeCell ref="E3:I5"/>
  </mergeCells>
  <dataValidations count="1">
    <dataValidation type="list" allowBlank="1" showErrorMessage="1" sqref="D3:D5">
      <formula1>"0%,2%,3%,4%,5%"</formula1>
    </dataValidation>
  </dataValidations>
  <printOptions horizontalCentered="1"/>
  <pageMargins left="0.25" right="0.25" top="0.75" bottom="0.75" header="0.3" footer="0.3"/>
  <pageSetup paperSize="9" scale="39" fitToHeight="0" orientation="landscape" horizontalDpi="300" verticalDpi="300"/>
  <headerFooter alignWithMargins="0" scaleWithDoc="0">
    <oddFooter>&amp;RPágina &amp;P de &amp;N</oddFooter>
  </headerFooter>
  <rowBreaks count="2" manualBreakCount="2">
    <brk id="38" max="9" man="1"/>
    <brk id="494" max="8" man="1"/>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29"/>
  <sheetViews>
    <sheetView view="pageBreakPreview" zoomScale="90" zoomScaleNormal="55" workbookViewId="0">
      <selection activeCell="AA19" sqref="AA19"/>
    </sheetView>
  </sheetViews>
  <sheetFormatPr defaultColWidth="11.5714285714286" defaultRowHeight="15"/>
  <cols>
    <col min="1" max="1" width="11.5714285714286" customWidth="1"/>
    <col min="2" max="2" width="25.4285714285714" customWidth="1"/>
  </cols>
  <sheetData>
    <row r="1" ht="18" spans="1:26">
      <c r="A1" s="11" t="s">
        <v>510</v>
      </c>
      <c r="B1" s="11"/>
      <c r="C1" s="11"/>
      <c r="D1" s="11"/>
      <c r="E1" s="11"/>
      <c r="F1" s="11"/>
      <c r="G1" s="11"/>
      <c r="H1" s="11"/>
      <c r="I1" s="11"/>
      <c r="J1" s="11"/>
      <c r="K1" s="11"/>
      <c r="L1" s="11"/>
      <c r="M1" s="11"/>
      <c r="N1" s="11"/>
      <c r="O1" s="11"/>
      <c r="P1" s="11"/>
      <c r="Q1" s="11"/>
      <c r="R1" s="11"/>
      <c r="S1" s="11"/>
      <c r="T1" s="11"/>
      <c r="U1" s="11"/>
      <c r="V1" s="11"/>
      <c r="W1" s="11"/>
      <c r="X1" s="11"/>
      <c r="Y1" s="11"/>
      <c r="Z1" s="11"/>
    </row>
    <row r="2" ht="12.75" customHeight="1" spans="1:26">
      <c r="A2" s="12"/>
      <c r="B2" s="13" t="s">
        <v>511</v>
      </c>
      <c r="C2" s="13"/>
      <c r="D2" s="13"/>
      <c r="E2" s="13"/>
      <c r="F2" s="13"/>
      <c r="G2" s="13"/>
      <c r="H2" s="13"/>
      <c r="I2" s="25"/>
      <c r="J2" s="25"/>
      <c r="K2" s="25"/>
      <c r="L2" s="25"/>
      <c r="M2" s="25"/>
      <c r="N2" s="25"/>
      <c r="O2" s="25"/>
      <c r="P2" s="25"/>
      <c r="Q2" s="25"/>
      <c r="R2" s="25"/>
      <c r="S2" s="25"/>
      <c r="T2" s="25"/>
      <c r="U2" s="25"/>
      <c r="V2" s="25"/>
      <c r="W2" s="25"/>
      <c r="X2" s="25"/>
      <c r="Y2" s="25"/>
      <c r="Z2" s="25"/>
    </row>
    <row r="3" ht="12.75" customHeight="1" spans="1:26">
      <c r="A3" s="12"/>
      <c r="B3" s="13" t="s">
        <v>512</v>
      </c>
      <c r="C3" s="13"/>
      <c r="D3" s="13"/>
      <c r="E3" s="13"/>
      <c r="F3" s="13"/>
      <c r="G3" s="13"/>
      <c r="H3" s="13"/>
      <c r="I3" s="25" t="s">
        <v>513</v>
      </c>
      <c r="J3" s="25"/>
      <c r="K3" s="25"/>
      <c r="L3" s="25"/>
      <c r="M3" s="25"/>
      <c r="N3" s="25"/>
      <c r="O3" s="25"/>
      <c r="P3" s="25"/>
      <c r="Q3" s="25"/>
      <c r="R3" s="25"/>
      <c r="S3" s="25"/>
      <c r="T3" s="25"/>
      <c r="U3" s="25"/>
      <c r="V3" s="25"/>
      <c r="W3" s="25"/>
      <c r="X3" s="25"/>
      <c r="Y3" s="25"/>
      <c r="Z3" s="25"/>
    </row>
    <row r="4" ht="12.75" customHeight="1" spans="1:26">
      <c r="A4" s="12"/>
      <c r="B4" s="13" t="s">
        <v>514</v>
      </c>
      <c r="C4" s="13"/>
      <c r="D4" s="13"/>
      <c r="E4" s="13"/>
      <c r="F4" s="13"/>
      <c r="G4" s="13"/>
      <c r="H4" s="13"/>
      <c r="I4" s="13"/>
      <c r="J4" s="13"/>
      <c r="K4" s="13"/>
      <c r="L4" s="13"/>
      <c r="M4" s="13"/>
      <c r="N4" s="13"/>
      <c r="O4" s="13"/>
      <c r="P4" s="13"/>
      <c r="Q4" s="13"/>
      <c r="R4" s="13"/>
      <c r="S4" s="13"/>
      <c r="T4" s="13"/>
      <c r="U4" s="13"/>
      <c r="V4" s="13"/>
      <c r="W4" s="13"/>
      <c r="X4" s="13"/>
      <c r="Y4" s="13"/>
      <c r="Z4" s="13"/>
    </row>
    <row r="5" ht="12.75" customHeight="1" spans="1:26">
      <c r="A5" s="14" t="s">
        <v>7</v>
      </c>
      <c r="B5" s="15" t="s">
        <v>8</v>
      </c>
      <c r="C5" s="5" t="s">
        <v>515</v>
      </c>
      <c r="D5" s="16" t="s">
        <v>516</v>
      </c>
      <c r="E5" s="17" t="s">
        <v>517</v>
      </c>
      <c r="F5" s="17"/>
      <c r="G5" s="17" t="s">
        <v>518</v>
      </c>
      <c r="H5" s="17"/>
      <c r="I5" s="17" t="s">
        <v>519</v>
      </c>
      <c r="J5" s="17"/>
      <c r="K5" s="17" t="s">
        <v>520</v>
      </c>
      <c r="L5" s="17"/>
      <c r="M5" s="26" t="s">
        <v>521</v>
      </c>
      <c r="N5" s="26"/>
      <c r="O5" s="17" t="s">
        <v>522</v>
      </c>
      <c r="P5" s="17"/>
      <c r="Q5" s="17" t="s">
        <v>523</v>
      </c>
      <c r="R5" s="17"/>
      <c r="S5" s="17" t="s">
        <v>524</v>
      </c>
      <c r="T5" s="17"/>
      <c r="U5" s="17" t="s">
        <v>525</v>
      </c>
      <c r="V5" s="17"/>
      <c r="W5" s="17" t="s">
        <v>526</v>
      </c>
      <c r="X5" s="17"/>
      <c r="Y5" s="17" t="s">
        <v>527</v>
      </c>
      <c r="Z5" s="17"/>
    </row>
    <row r="6" spans="1:26">
      <c r="A6" s="14"/>
      <c r="B6" s="15"/>
      <c r="C6" s="5"/>
      <c r="D6" s="16"/>
      <c r="E6" s="16" t="s">
        <v>528</v>
      </c>
      <c r="F6" s="18" t="s">
        <v>529</v>
      </c>
      <c r="G6" s="16" t="s">
        <v>528</v>
      </c>
      <c r="H6" s="18" t="s">
        <v>529</v>
      </c>
      <c r="I6" s="16" t="s">
        <v>528</v>
      </c>
      <c r="J6" s="18" t="s">
        <v>529</v>
      </c>
      <c r="K6" s="16" t="s">
        <v>528</v>
      </c>
      <c r="L6" s="18" t="s">
        <v>529</v>
      </c>
      <c r="M6" s="16" t="s">
        <v>528</v>
      </c>
      <c r="N6" s="18" t="s">
        <v>529</v>
      </c>
      <c r="O6" s="16" t="s">
        <v>528</v>
      </c>
      <c r="P6" s="18" t="s">
        <v>529</v>
      </c>
      <c r="Q6" s="16" t="s">
        <v>528</v>
      </c>
      <c r="R6" s="18" t="s">
        <v>529</v>
      </c>
      <c r="S6" s="16" t="s">
        <v>528</v>
      </c>
      <c r="T6" s="18" t="s">
        <v>529</v>
      </c>
      <c r="U6" s="16" t="s">
        <v>528</v>
      </c>
      <c r="V6" s="18" t="s">
        <v>529</v>
      </c>
      <c r="W6" s="16" t="s">
        <v>528</v>
      </c>
      <c r="X6" s="18" t="s">
        <v>529</v>
      </c>
      <c r="Y6" s="16" t="s">
        <v>528</v>
      </c>
      <c r="Z6" s="18" t="s">
        <v>529</v>
      </c>
    </row>
    <row r="7" ht="30" spans="1:26">
      <c r="A7" s="6">
        <v>1</v>
      </c>
      <c r="B7" s="7" t="s">
        <v>18</v>
      </c>
      <c r="C7" s="8">
        <f>'PLANILHA QUADRA MODELO 3'!G29</f>
        <v>14829.9862</v>
      </c>
      <c r="D7" s="19">
        <f>C7/$C$27</f>
        <v>0.0208522963590166</v>
      </c>
      <c r="E7" s="19">
        <v>1</v>
      </c>
      <c r="F7" s="20">
        <f>C7*E7</f>
        <v>14829.9862</v>
      </c>
      <c r="G7" s="19"/>
      <c r="H7" s="20"/>
      <c r="I7" s="19"/>
      <c r="J7" s="20"/>
      <c r="K7" s="19"/>
      <c r="L7" s="20"/>
      <c r="M7" s="19"/>
      <c r="N7" s="20"/>
      <c r="O7" s="19"/>
      <c r="P7" s="20"/>
      <c r="Q7" s="19"/>
      <c r="R7" s="20"/>
      <c r="S7" s="19"/>
      <c r="T7" s="20"/>
      <c r="U7" s="19"/>
      <c r="V7" s="20"/>
      <c r="W7" s="19"/>
      <c r="X7" s="20"/>
      <c r="Y7" s="19"/>
      <c r="Z7" s="20"/>
    </row>
    <row r="8" spans="1:26">
      <c r="A8" s="6">
        <v>3</v>
      </c>
      <c r="B8" s="21" t="s">
        <v>43</v>
      </c>
      <c r="C8" s="8">
        <f>'PLANILHA QUADRA MODELO 3'!G55</f>
        <v>7614.05921408</v>
      </c>
      <c r="D8" s="19">
        <f>C8/$C$27</f>
        <v>0.0107060530661247</v>
      </c>
      <c r="E8" s="19">
        <v>0.05</v>
      </c>
      <c r="F8" s="20">
        <f>C8*E8</f>
        <v>380.702960704</v>
      </c>
      <c r="G8" s="19">
        <v>0.65</v>
      </c>
      <c r="H8" s="20">
        <f>C8*G8</f>
        <v>4949.138489152</v>
      </c>
      <c r="I8" s="19">
        <v>0.3</v>
      </c>
      <c r="J8" s="20">
        <f>C8*I8</f>
        <v>2284.217764224</v>
      </c>
      <c r="K8" s="19"/>
      <c r="L8" s="20"/>
      <c r="M8" s="19"/>
      <c r="N8" s="20"/>
      <c r="O8" s="19"/>
      <c r="P8" s="20"/>
      <c r="Q8" s="19"/>
      <c r="R8" s="20"/>
      <c r="S8" s="19"/>
      <c r="T8" s="20"/>
      <c r="U8" s="19"/>
      <c r="V8" s="20"/>
      <c r="W8" s="19"/>
      <c r="X8" s="20"/>
      <c r="Y8" s="19"/>
      <c r="Z8" s="20"/>
    </row>
    <row r="9" ht="30" spans="1:26">
      <c r="A9" s="6">
        <v>4</v>
      </c>
      <c r="B9" s="21" t="s">
        <v>71</v>
      </c>
      <c r="C9" s="8">
        <f>'PLANILHA QUADRA MODELO 3'!G95</f>
        <v>69916.91048392</v>
      </c>
      <c r="D9" s="19">
        <f>C9/$C$27</f>
        <v>0.0983094736741921</v>
      </c>
      <c r="E9" s="19">
        <v>0.07</v>
      </c>
      <c r="F9" s="20">
        <f>C9*E9</f>
        <v>4894.1837338744</v>
      </c>
      <c r="G9" s="19">
        <v>0.3</v>
      </c>
      <c r="H9" s="20">
        <f>C9*G9</f>
        <v>20975.073145176</v>
      </c>
      <c r="I9" s="19">
        <v>0.63</v>
      </c>
      <c r="J9" s="20">
        <f>C9*I9</f>
        <v>44047.6536048696</v>
      </c>
      <c r="K9" s="19"/>
      <c r="L9" s="20"/>
      <c r="M9" s="19"/>
      <c r="N9" s="20"/>
      <c r="O9" s="19"/>
      <c r="P9" s="20"/>
      <c r="Q9" s="19"/>
      <c r="R9" s="20"/>
      <c r="S9" s="19"/>
      <c r="T9" s="20"/>
      <c r="U9" s="19"/>
      <c r="V9" s="20"/>
      <c r="W9" s="19"/>
      <c r="X9" s="20"/>
      <c r="Y9" s="19"/>
      <c r="Z9" s="20"/>
    </row>
    <row r="10" spans="1:26">
      <c r="A10" s="6">
        <v>5</v>
      </c>
      <c r="B10" s="7" t="s">
        <v>108</v>
      </c>
      <c r="C10" s="8">
        <f>'PLANILHA QUADRA MODELO 3'!G107</f>
        <v>36137.49367968</v>
      </c>
      <c r="D10" s="19">
        <f>C10/$C$27</f>
        <v>0.0508125710785068</v>
      </c>
      <c r="E10" s="19"/>
      <c r="F10" s="20"/>
      <c r="G10" s="19"/>
      <c r="H10" s="20"/>
      <c r="I10" s="19"/>
      <c r="J10" s="20"/>
      <c r="K10" s="19">
        <v>0.15</v>
      </c>
      <c r="L10" s="20">
        <f>C10*K10</f>
        <v>5420.624051952</v>
      </c>
      <c r="M10" s="19">
        <v>0.4</v>
      </c>
      <c r="N10" s="20">
        <f>C10*M10</f>
        <v>14454.997471872</v>
      </c>
      <c r="O10" s="19">
        <v>0.45</v>
      </c>
      <c r="P10" s="20">
        <f>C10*O10</f>
        <v>16261.872155856</v>
      </c>
      <c r="Q10" s="19"/>
      <c r="R10" s="20"/>
      <c r="S10" s="19"/>
      <c r="T10" s="20"/>
      <c r="U10" s="19"/>
      <c r="V10" s="20"/>
      <c r="W10" s="19"/>
      <c r="X10" s="20"/>
      <c r="Y10" s="19"/>
      <c r="Z10" s="20"/>
    </row>
    <row r="11" spans="1:26">
      <c r="A11" s="6">
        <v>6</v>
      </c>
      <c r="B11" s="7" t="s">
        <v>120</v>
      </c>
      <c r="C11" s="8">
        <f>'PLANILHA QUADRA MODELO 3'!G116</f>
        <v>20519.96949</v>
      </c>
      <c r="D11" s="19">
        <f>C11/C27</f>
        <v>0.028852925371128</v>
      </c>
      <c r="E11" s="19"/>
      <c r="F11" s="20"/>
      <c r="G11" s="19"/>
      <c r="H11" s="20"/>
      <c r="I11" s="19">
        <v>0.02</v>
      </c>
      <c r="J11" s="20">
        <f>C11*I11</f>
        <v>410.3993898</v>
      </c>
      <c r="K11" s="19">
        <v>0.58</v>
      </c>
      <c r="L11" s="20">
        <f>C11*K11</f>
        <v>11901.5823042</v>
      </c>
      <c r="M11" s="19">
        <v>0.4</v>
      </c>
      <c r="N11" s="20">
        <f>C11*M11</f>
        <v>8207.987796</v>
      </c>
      <c r="O11" s="19"/>
      <c r="P11" s="20"/>
      <c r="Q11" s="19"/>
      <c r="R11" s="20"/>
      <c r="S11" s="19"/>
      <c r="T11" s="20"/>
      <c r="U11" s="19"/>
      <c r="V11" s="20"/>
      <c r="W11" s="19"/>
      <c r="X11" s="20"/>
      <c r="Y11" s="19"/>
      <c r="Z11" s="20"/>
    </row>
    <row r="12" spans="1:26">
      <c r="A12" s="6">
        <v>7</v>
      </c>
      <c r="B12" s="7" t="s">
        <v>129</v>
      </c>
      <c r="C12" s="8">
        <f>'PLANILHA QUADRA MODELO 3'!G138</f>
        <v>11597.84</v>
      </c>
      <c r="D12" s="19">
        <f t="shared" ref="D12:D25" si="0">C12/$C$27</f>
        <v>0.0163076076769685</v>
      </c>
      <c r="E12" s="19"/>
      <c r="F12" s="20"/>
      <c r="G12" s="19"/>
      <c r="H12" s="20"/>
      <c r="I12" s="19"/>
      <c r="J12" s="20"/>
      <c r="K12" s="19"/>
      <c r="L12" s="20"/>
      <c r="M12" s="19"/>
      <c r="N12" s="20"/>
      <c r="O12" s="19"/>
      <c r="P12" s="20"/>
      <c r="Q12" s="19">
        <v>0.5</v>
      </c>
      <c r="R12" s="20">
        <f>C12*Q12</f>
        <v>5798.92</v>
      </c>
      <c r="S12" s="19">
        <v>0.5</v>
      </c>
      <c r="T12" s="20">
        <f t="shared" ref="T12:T19" si="1">C12*S12</f>
        <v>5798.92</v>
      </c>
      <c r="U12" s="19"/>
      <c r="V12" s="20"/>
      <c r="W12" s="19"/>
      <c r="X12" s="20"/>
      <c r="Y12" s="19"/>
      <c r="Z12" s="20"/>
    </row>
    <row r="13" spans="1:26">
      <c r="A13" s="6">
        <v>8</v>
      </c>
      <c r="B13" s="7" t="s">
        <v>147</v>
      </c>
      <c r="C13" s="8">
        <f>'PLANILHA QUADRA MODELO 3'!G219</f>
        <v>16197.6</v>
      </c>
      <c r="D13" s="19">
        <f t="shared" si="0"/>
        <v>0.0227752845450933</v>
      </c>
      <c r="E13" s="19"/>
      <c r="F13" s="20"/>
      <c r="G13" s="19"/>
      <c r="H13" s="20"/>
      <c r="I13" s="19"/>
      <c r="J13" s="20"/>
      <c r="K13" s="19">
        <v>0.35</v>
      </c>
      <c r="L13" s="20">
        <f>C13*K13</f>
        <v>5669.16</v>
      </c>
      <c r="M13" s="19">
        <v>0.1</v>
      </c>
      <c r="N13" s="20">
        <f>C13*M13</f>
        <v>1619.76</v>
      </c>
      <c r="O13" s="19">
        <v>0.1</v>
      </c>
      <c r="P13" s="20">
        <f>C13*O13</f>
        <v>1619.76</v>
      </c>
      <c r="Q13" s="19">
        <v>0.2</v>
      </c>
      <c r="R13" s="20">
        <f>C13*Q13</f>
        <v>3239.52</v>
      </c>
      <c r="S13" s="19">
        <v>0.2</v>
      </c>
      <c r="T13" s="20">
        <f t="shared" si="1"/>
        <v>3239.52</v>
      </c>
      <c r="U13" s="19">
        <v>0.05</v>
      </c>
      <c r="V13" s="20">
        <f>C13*U13</f>
        <v>809.88</v>
      </c>
      <c r="W13" s="19"/>
      <c r="X13" s="20"/>
      <c r="Y13" s="19"/>
      <c r="Z13" s="20"/>
    </row>
    <row r="14" spans="1:26">
      <c r="A14" s="6">
        <v>9</v>
      </c>
      <c r="B14" s="7" t="s">
        <v>222</v>
      </c>
      <c r="C14" s="8">
        <f>'PLANILHA QUADRA MODELO 3'!G256</f>
        <v>14230.34</v>
      </c>
      <c r="D14" s="19">
        <f t="shared" si="0"/>
        <v>0.0200091397906741</v>
      </c>
      <c r="E14" s="19"/>
      <c r="F14" s="20"/>
      <c r="G14" s="19"/>
      <c r="H14" s="20"/>
      <c r="I14" s="19"/>
      <c r="J14" s="20"/>
      <c r="K14" s="19">
        <v>0.1</v>
      </c>
      <c r="L14" s="20">
        <f>C14*K14</f>
        <v>1423.034</v>
      </c>
      <c r="M14" s="19">
        <v>0.1</v>
      </c>
      <c r="N14" s="20">
        <f>C14*M14</f>
        <v>1423.034</v>
      </c>
      <c r="O14" s="19">
        <v>0.1</v>
      </c>
      <c r="P14" s="20">
        <f>C14*O14</f>
        <v>1423.034</v>
      </c>
      <c r="Q14" s="19">
        <v>0.35</v>
      </c>
      <c r="R14" s="20">
        <f>C14*Q14</f>
        <v>4980.619</v>
      </c>
      <c r="S14" s="19">
        <v>0.2</v>
      </c>
      <c r="T14" s="20">
        <f t="shared" si="1"/>
        <v>2846.068</v>
      </c>
      <c r="U14" s="19">
        <v>0.05</v>
      </c>
      <c r="V14" s="20">
        <f>C14*U14</f>
        <v>711.517</v>
      </c>
      <c r="W14" s="19">
        <v>0.1</v>
      </c>
      <c r="X14" s="20">
        <f>C14*W14</f>
        <v>1423.034</v>
      </c>
      <c r="Y14" s="19"/>
      <c r="Z14" s="20"/>
    </row>
    <row r="15" spans="1:26">
      <c r="A15" s="6">
        <v>10</v>
      </c>
      <c r="B15" s="7" t="s">
        <v>247</v>
      </c>
      <c r="C15" s="8">
        <f>'PLANILHA QUADRA MODELO 3'!G352</f>
        <v>22814.72</v>
      </c>
      <c r="D15" s="19">
        <f t="shared" si="0"/>
        <v>0.0320795512802286</v>
      </c>
      <c r="E15" s="19"/>
      <c r="F15" s="20"/>
      <c r="G15" s="19"/>
      <c r="H15" s="20"/>
      <c r="I15" s="19"/>
      <c r="J15" s="20"/>
      <c r="K15" s="19">
        <v>0.1</v>
      </c>
      <c r="L15" s="20">
        <f>C15*K15</f>
        <v>2281.472</v>
      </c>
      <c r="M15" s="19">
        <v>0.1</v>
      </c>
      <c r="N15" s="20">
        <f>C15*M15</f>
        <v>2281.472</v>
      </c>
      <c r="O15" s="19">
        <v>0.1</v>
      </c>
      <c r="P15" s="20">
        <f>C15*O15</f>
        <v>2281.472</v>
      </c>
      <c r="Q15" s="19">
        <v>0.35</v>
      </c>
      <c r="R15" s="20">
        <f>C15*Q15</f>
        <v>7985.152</v>
      </c>
      <c r="S15" s="19">
        <v>0.2</v>
      </c>
      <c r="T15" s="20">
        <f t="shared" si="1"/>
        <v>4562.944</v>
      </c>
      <c r="U15" s="19">
        <v>0.05</v>
      </c>
      <c r="V15" s="20">
        <f>C15*U15</f>
        <v>1140.736</v>
      </c>
      <c r="W15" s="19">
        <v>0.1</v>
      </c>
      <c r="X15" s="20">
        <f>C15*W15</f>
        <v>2281.472</v>
      </c>
      <c r="Y15" s="19"/>
      <c r="Z15" s="20"/>
    </row>
    <row r="16" spans="1:26">
      <c r="A16" s="6">
        <v>12</v>
      </c>
      <c r="B16" s="7" t="s">
        <v>328</v>
      </c>
      <c r="C16" s="8">
        <f>'PLANILHA QUADRA MODELO 3'!G363</f>
        <v>6152.2956</v>
      </c>
      <c r="D16" s="19">
        <f t="shared" si="0"/>
        <v>0.00865068176121928</v>
      </c>
      <c r="E16" s="19"/>
      <c r="F16" s="20"/>
      <c r="G16" s="19"/>
      <c r="H16" s="20"/>
      <c r="I16" s="19"/>
      <c r="J16" s="20"/>
      <c r="K16" s="19"/>
      <c r="L16" s="20"/>
      <c r="M16" s="19"/>
      <c r="N16" s="20"/>
      <c r="O16" s="19"/>
      <c r="P16" s="20"/>
      <c r="Q16" s="19"/>
      <c r="R16" s="20"/>
      <c r="S16" s="19">
        <v>0.35</v>
      </c>
      <c r="T16" s="20">
        <f t="shared" si="1"/>
        <v>2153.30346</v>
      </c>
      <c r="U16" s="19">
        <v>0.35</v>
      </c>
      <c r="V16" s="20">
        <f>C16*U16</f>
        <v>2153.30346</v>
      </c>
      <c r="W16" s="19">
        <v>0.3</v>
      </c>
      <c r="X16" s="20">
        <f>C16*W16</f>
        <v>1845.68868</v>
      </c>
      <c r="Y16" s="19"/>
      <c r="Z16" s="20"/>
    </row>
    <row r="17" spans="1:26">
      <c r="A17" s="6">
        <v>13</v>
      </c>
      <c r="B17" s="7" t="s">
        <v>340</v>
      </c>
      <c r="C17" s="8">
        <f>'PLANILHA QUADRA MODELO 3'!G386</f>
        <v>14657.7536</v>
      </c>
      <c r="D17" s="19">
        <f t="shared" si="0"/>
        <v>0.0206101218101364</v>
      </c>
      <c r="E17" s="19"/>
      <c r="F17" s="20"/>
      <c r="G17" s="19"/>
      <c r="H17" s="20"/>
      <c r="I17" s="19"/>
      <c r="J17" s="20"/>
      <c r="K17" s="19"/>
      <c r="L17" s="20"/>
      <c r="M17" s="19"/>
      <c r="N17" s="20"/>
      <c r="O17" s="19"/>
      <c r="P17" s="20"/>
      <c r="Q17" s="19"/>
      <c r="R17" s="20"/>
      <c r="S17" s="19">
        <v>0.4</v>
      </c>
      <c r="T17" s="20">
        <f t="shared" si="1"/>
        <v>5863.10144</v>
      </c>
      <c r="U17" s="19">
        <v>0.6</v>
      </c>
      <c r="V17" s="20">
        <f>C17*U17</f>
        <v>8794.65216</v>
      </c>
      <c r="W17" s="19"/>
      <c r="X17" s="20"/>
      <c r="Y17" s="19"/>
      <c r="Z17" s="20"/>
    </row>
    <row r="18" spans="1:26">
      <c r="A18" s="6">
        <v>14</v>
      </c>
      <c r="B18" s="7" t="s">
        <v>358</v>
      </c>
      <c r="C18" s="8">
        <f>'PLANILHA QUADRA MODELO 3'!G410</f>
        <v>27989.108904</v>
      </c>
      <c r="D18" s="19">
        <f t="shared" si="0"/>
        <v>0.0393552081451699</v>
      </c>
      <c r="E18" s="19"/>
      <c r="F18" s="20"/>
      <c r="G18" s="19"/>
      <c r="H18" s="20"/>
      <c r="I18" s="19"/>
      <c r="J18" s="20"/>
      <c r="K18" s="19"/>
      <c r="L18" s="20"/>
      <c r="M18" s="19"/>
      <c r="N18" s="20"/>
      <c r="O18" s="19">
        <v>0.35</v>
      </c>
      <c r="P18" s="20">
        <f>C18*O18</f>
        <v>9796.1881164</v>
      </c>
      <c r="Q18" s="19">
        <v>0.35</v>
      </c>
      <c r="R18" s="20">
        <f>C18*Q18</f>
        <v>9796.1881164</v>
      </c>
      <c r="S18" s="19">
        <v>0.3</v>
      </c>
      <c r="T18" s="20">
        <f t="shared" si="1"/>
        <v>8396.7326712</v>
      </c>
      <c r="U18" s="19"/>
      <c r="V18" s="20"/>
      <c r="W18" s="19"/>
      <c r="X18" s="20"/>
      <c r="Y18" s="19"/>
      <c r="Z18" s="20"/>
    </row>
    <row r="19" spans="1:26">
      <c r="A19" s="6">
        <v>15</v>
      </c>
      <c r="B19" s="7" t="s">
        <v>373</v>
      </c>
      <c r="C19" s="8">
        <f>'PLANILHA QUADRA MODELO 3'!G451</f>
        <v>29529.895396</v>
      </c>
      <c r="D19" s="19">
        <f t="shared" si="0"/>
        <v>0.0415216927341545</v>
      </c>
      <c r="E19" s="19"/>
      <c r="F19" s="20"/>
      <c r="G19" s="19"/>
      <c r="H19" s="20"/>
      <c r="I19" s="19"/>
      <c r="J19" s="20"/>
      <c r="K19" s="19"/>
      <c r="L19" s="20"/>
      <c r="M19" s="19"/>
      <c r="N19" s="20"/>
      <c r="O19" s="19"/>
      <c r="P19" s="20"/>
      <c r="Q19" s="19">
        <v>0.35</v>
      </c>
      <c r="R19" s="20">
        <f>C19*Q19</f>
        <v>10335.4633886</v>
      </c>
      <c r="S19" s="19">
        <v>0.35</v>
      </c>
      <c r="T19" s="20">
        <f t="shared" si="1"/>
        <v>10335.4633886</v>
      </c>
      <c r="U19" s="19">
        <v>0.3</v>
      </c>
      <c r="V19" s="20">
        <f>C19*U19</f>
        <v>8858.9686188</v>
      </c>
      <c r="W19" s="19"/>
      <c r="X19" s="20"/>
      <c r="Y19" s="19"/>
      <c r="Z19" s="20"/>
    </row>
    <row r="20" spans="1:26">
      <c r="A20" s="6">
        <v>17</v>
      </c>
      <c r="B20" s="7" t="s">
        <v>395</v>
      </c>
      <c r="C20" s="8">
        <f>'PLANILHA QUADRA MODELO 3'!G466</f>
        <v>14149.413376</v>
      </c>
      <c r="D20" s="19">
        <f t="shared" si="0"/>
        <v>0.0198953496681329</v>
      </c>
      <c r="E20" s="19"/>
      <c r="F20" s="20"/>
      <c r="G20" s="19"/>
      <c r="H20" s="20"/>
      <c r="I20" s="19"/>
      <c r="J20" s="20"/>
      <c r="K20" s="19"/>
      <c r="L20" s="20"/>
      <c r="M20" s="19"/>
      <c r="N20" s="20"/>
      <c r="O20" s="19"/>
      <c r="P20" s="20"/>
      <c r="Q20" s="19"/>
      <c r="R20" s="20"/>
      <c r="S20" s="19"/>
      <c r="T20" s="20"/>
      <c r="U20" s="19">
        <v>0.1</v>
      </c>
      <c r="V20" s="20">
        <f>C20*U20</f>
        <v>1414.9413376</v>
      </c>
      <c r="W20" s="19">
        <v>0.65</v>
      </c>
      <c r="X20" s="20">
        <f>C20*W20</f>
        <v>9197.1186944</v>
      </c>
      <c r="Y20" s="19">
        <v>0.25</v>
      </c>
      <c r="Z20" s="20">
        <f>C20*Y20</f>
        <v>3537.353344</v>
      </c>
    </row>
    <row r="21" ht="30" spans="1:26">
      <c r="A21" s="6">
        <v>18</v>
      </c>
      <c r="B21" s="7" t="s">
        <v>404</v>
      </c>
      <c r="C21" s="8">
        <f>'PLANILHA QUADRA MODELO 3'!G479</f>
        <v>133.864</v>
      </c>
      <c r="D21" s="19">
        <f t="shared" si="0"/>
        <v>0.000188224841355779</v>
      </c>
      <c r="E21" s="19"/>
      <c r="F21" s="20"/>
      <c r="G21" s="19"/>
      <c r="H21" s="20"/>
      <c r="I21" s="19"/>
      <c r="J21" s="20"/>
      <c r="K21" s="19"/>
      <c r="L21" s="20"/>
      <c r="M21" s="19"/>
      <c r="N21" s="20"/>
      <c r="O21" s="19">
        <v>0.5</v>
      </c>
      <c r="P21" s="20">
        <f>C21*O21</f>
        <v>66.932</v>
      </c>
      <c r="Q21" s="19">
        <v>0.5</v>
      </c>
      <c r="R21" s="20">
        <f>C21*Q21</f>
        <v>66.932</v>
      </c>
      <c r="S21" s="19"/>
      <c r="T21" s="20"/>
      <c r="U21" s="19"/>
      <c r="V21" s="20"/>
      <c r="W21" s="19"/>
      <c r="X21" s="20"/>
      <c r="Y21" s="19"/>
      <c r="Z21" s="20"/>
    </row>
    <row r="22" spans="1:26">
      <c r="A22" s="6">
        <v>20</v>
      </c>
      <c r="B22" s="7" t="s">
        <v>410</v>
      </c>
      <c r="C22" s="8">
        <f>'PLANILHA QUADRA MODELO 3'!G578</f>
        <v>379020.2447592</v>
      </c>
      <c r="D22" s="19">
        <f t="shared" si="0"/>
        <v>0.532936603122789</v>
      </c>
      <c r="E22" s="19"/>
      <c r="F22" s="20"/>
      <c r="G22" s="19"/>
      <c r="H22" s="20"/>
      <c r="I22" s="19">
        <v>0.01</v>
      </c>
      <c r="J22" s="20">
        <f>C22*I22</f>
        <v>3790.202447592</v>
      </c>
      <c r="K22" s="19">
        <v>0.07</v>
      </c>
      <c r="L22" s="20">
        <f>C22*K22</f>
        <v>26531.417133144</v>
      </c>
      <c r="M22" s="19">
        <v>0.25</v>
      </c>
      <c r="N22" s="20">
        <f>C22*M22</f>
        <v>94755.0611898</v>
      </c>
      <c r="O22" s="19">
        <v>0.25</v>
      </c>
      <c r="P22" s="20">
        <f>C22*O22</f>
        <v>94755.0611898</v>
      </c>
      <c r="Q22" s="19">
        <v>0.2</v>
      </c>
      <c r="R22" s="20">
        <f>C22*Q22</f>
        <v>75804.04895184</v>
      </c>
      <c r="S22" s="19">
        <v>0.1</v>
      </c>
      <c r="T22" s="20">
        <f>C22*S22</f>
        <v>37902.02447592</v>
      </c>
      <c r="U22" s="19">
        <v>0.08</v>
      </c>
      <c r="V22" s="20">
        <f>C22*U22</f>
        <v>30321.619580736</v>
      </c>
      <c r="W22" s="19">
        <v>0.04</v>
      </c>
      <c r="X22" s="20">
        <f>C22*W22</f>
        <v>15160.809790368</v>
      </c>
      <c r="Y22" s="19"/>
      <c r="Z22" s="20"/>
    </row>
    <row r="23" spans="1:26">
      <c r="A23" s="6">
        <v>23</v>
      </c>
      <c r="B23" s="7" t="s">
        <v>466</v>
      </c>
      <c r="C23" s="8">
        <f>'PLANILHA QUADRA MODELO 3'!G589</f>
        <v>6340.8</v>
      </c>
      <c r="D23" s="19">
        <f t="shared" si="0"/>
        <v>0.00891573592652785</v>
      </c>
      <c r="E23" s="19"/>
      <c r="F23" s="20"/>
      <c r="G23" s="19"/>
      <c r="H23" s="20"/>
      <c r="I23" s="19"/>
      <c r="J23" s="20"/>
      <c r="K23" s="19">
        <v>0.06</v>
      </c>
      <c r="L23" s="20">
        <f>C23*K23</f>
        <v>380.448</v>
      </c>
      <c r="M23" s="19">
        <v>0.06</v>
      </c>
      <c r="N23" s="20">
        <f>C23*M23</f>
        <v>380.448</v>
      </c>
      <c r="O23" s="19">
        <v>0.06</v>
      </c>
      <c r="P23" s="20">
        <f>C23*O23</f>
        <v>380.448</v>
      </c>
      <c r="Q23" s="19">
        <v>0.06</v>
      </c>
      <c r="R23" s="20">
        <f>C23*Q23</f>
        <v>380.448</v>
      </c>
      <c r="S23" s="19">
        <v>0.06</v>
      </c>
      <c r="T23" s="20">
        <f>C23*S23</f>
        <v>380.448</v>
      </c>
      <c r="U23" s="19">
        <v>0.06</v>
      </c>
      <c r="V23" s="20">
        <f>C23*U23</f>
        <v>380.448</v>
      </c>
      <c r="W23" s="19">
        <v>0.06</v>
      </c>
      <c r="X23" s="20">
        <f>C23*W23</f>
        <v>380.448</v>
      </c>
      <c r="Y23" s="19">
        <v>0.58</v>
      </c>
      <c r="Z23" s="20">
        <f>C23*Y23</f>
        <v>3677.664</v>
      </c>
    </row>
    <row r="24" ht="30" spans="1:26">
      <c r="A24" s="6">
        <v>24</v>
      </c>
      <c r="B24" s="7" t="s">
        <v>475</v>
      </c>
      <c r="C24" s="8">
        <f>'PLANILHA QUADRA MODELO 3'!G624</f>
        <v>19187.59</v>
      </c>
      <c r="D24" s="19">
        <f t="shared" si="0"/>
        <v>0.0269794797985249</v>
      </c>
      <c r="E24" s="19">
        <v>0.5</v>
      </c>
      <c r="F24" s="20">
        <f>C24*E24</f>
        <v>9593.795</v>
      </c>
      <c r="G24" s="19">
        <v>0.5</v>
      </c>
      <c r="H24" s="20">
        <f>C24*G24</f>
        <v>9593.795</v>
      </c>
      <c r="I24" s="19"/>
      <c r="J24" s="20"/>
      <c r="K24" s="19"/>
      <c r="L24" s="20"/>
      <c r="M24" s="19"/>
      <c r="N24" s="20"/>
      <c r="O24" s="19"/>
      <c r="P24" s="20"/>
      <c r="Q24" s="19"/>
      <c r="R24" s="20"/>
      <c r="S24" s="19"/>
      <c r="T24" s="20"/>
      <c r="U24" s="19"/>
      <c r="V24" s="20"/>
      <c r="W24" s="19"/>
      <c r="X24" s="20"/>
      <c r="Y24" s="19"/>
      <c r="Z24" s="20"/>
    </row>
    <row r="25" spans="1:26">
      <c r="A25" s="6">
        <v>26</v>
      </c>
      <c r="B25" s="7" t="s">
        <v>497</v>
      </c>
      <c r="C25" s="8">
        <f>'PLANILHA QUADRA MODELO 3'!G630</f>
        <v>172.108</v>
      </c>
      <c r="D25" s="19">
        <f t="shared" si="0"/>
        <v>0.000241999350057225</v>
      </c>
      <c r="E25" s="19"/>
      <c r="F25" s="20"/>
      <c r="G25" s="19"/>
      <c r="H25" s="20"/>
      <c r="I25" s="19"/>
      <c r="J25" s="20"/>
      <c r="K25" s="19"/>
      <c r="L25" s="20"/>
      <c r="M25" s="19"/>
      <c r="N25" s="20"/>
      <c r="O25" s="19"/>
      <c r="P25" s="20"/>
      <c r="Q25" s="19"/>
      <c r="R25" s="20"/>
      <c r="S25" s="19"/>
      <c r="T25" s="20"/>
      <c r="U25" s="19">
        <v>1</v>
      </c>
      <c r="V25" s="20">
        <f>C25*U25</f>
        <v>172.108</v>
      </c>
      <c r="W25" s="19"/>
      <c r="X25" s="20"/>
      <c r="Y25" s="19"/>
      <c r="Z25" s="20"/>
    </row>
    <row r="26" ht="12.75" customHeight="1" spans="1:27">
      <c r="A26" s="9" t="s">
        <v>530</v>
      </c>
      <c r="B26" s="9"/>
      <c r="C26" s="8"/>
      <c r="D26" s="19"/>
      <c r="E26" s="19">
        <f>F26/C27</f>
        <v>0.0417590020687787</v>
      </c>
      <c r="F26" s="20">
        <f>SUM(F7:F25)</f>
        <v>29698.6678945784</v>
      </c>
      <c r="G26" s="19">
        <f>H26/C27</f>
        <v>0.0499415164945011</v>
      </c>
      <c r="H26" s="20">
        <f>SUM(H7:H25)</f>
        <v>35518.006634328</v>
      </c>
      <c r="I26" s="19">
        <f>J26/C27</f>
        <v>0.0710532088732289</v>
      </c>
      <c r="J26" s="20">
        <f>SUM(J7:J25)</f>
        <v>50532.4732064856</v>
      </c>
      <c r="K26" s="19">
        <f>L26/C27</f>
        <v>0.07537730744909</v>
      </c>
      <c r="L26" s="20">
        <f>SUM(L7:L25)</f>
        <v>53607.737489296</v>
      </c>
      <c r="M26" s="19">
        <f>N26/C27</f>
        <v>0.173121691077742</v>
      </c>
      <c r="N26" s="20">
        <f>SUM(N7:N25)</f>
        <v>123122.760457672</v>
      </c>
      <c r="O26" s="19">
        <f>P26/C27</f>
        <v>0.177989584754704</v>
      </c>
      <c r="P26" s="20">
        <f>SUM(P7:P25)</f>
        <v>126584.767462056</v>
      </c>
      <c r="Q26" s="19">
        <f>R26/C27</f>
        <v>0.16646319513091</v>
      </c>
      <c r="R26" s="20">
        <f>SUM(R7:R25)</f>
        <v>118387.29145684</v>
      </c>
      <c r="S26" s="19">
        <f>T26/C27</f>
        <v>0.11456614567054</v>
      </c>
      <c r="T26" s="20">
        <f>SUM(T7:T25)</f>
        <v>81478.52543572</v>
      </c>
      <c r="U26" s="19">
        <f>V26/C27</f>
        <v>0.07699492502584</v>
      </c>
      <c r="V26" s="20">
        <f>SUM(V7:V25)</f>
        <v>54758.174157136</v>
      </c>
      <c r="W26" s="19">
        <f>X26/C27</f>
        <v>0.0425884592002456</v>
      </c>
      <c r="X26" s="20">
        <f>SUM(X7:X25)</f>
        <v>30288.571164768</v>
      </c>
      <c r="Y26" s="19">
        <f>Z26/C27</f>
        <v>0.0101449642544194</v>
      </c>
      <c r="Z26" s="20">
        <f>SUM(Z7:Z25)</f>
        <v>7215.017344</v>
      </c>
      <c r="AA26" s="27">
        <f>F26+H26+J26+L26+N26+P26+R26+T26+V26+X26+Z26</f>
        <v>711191.99270288</v>
      </c>
    </row>
    <row r="27" ht="12.75" customHeight="1" spans="1:26">
      <c r="A27" s="9" t="s">
        <v>531</v>
      </c>
      <c r="B27" s="9"/>
      <c r="C27" s="10">
        <f>SUM(C7:C25)</f>
        <v>711191.99270288</v>
      </c>
      <c r="D27" s="22">
        <f>SUM(D7:D26)</f>
        <v>1</v>
      </c>
      <c r="E27" s="22">
        <f>F27/C27</f>
        <v>0.0417590020687787</v>
      </c>
      <c r="F27" s="23">
        <f>F26</f>
        <v>29698.6678945784</v>
      </c>
      <c r="G27" s="22">
        <f>H27/C27</f>
        <v>0.0917005185632798</v>
      </c>
      <c r="H27" s="23">
        <f>F27+H26</f>
        <v>65216.6745289064</v>
      </c>
      <c r="I27" s="22">
        <f>J27/C27</f>
        <v>0.162753727436509</v>
      </c>
      <c r="J27" s="23">
        <f>H27+J26</f>
        <v>115749.147735392</v>
      </c>
      <c r="K27" s="22">
        <f>L27/C27</f>
        <v>0.238131034885599</v>
      </c>
      <c r="L27" s="23">
        <f t="shared" ref="L27:X27" si="2">J27+L26</f>
        <v>169356.885224688</v>
      </c>
      <c r="M27" s="22">
        <f t="shared" si="2"/>
        <v>0.411252725963341</v>
      </c>
      <c r="N27" s="23">
        <f t="shared" si="2"/>
        <v>292479.64568236</v>
      </c>
      <c r="O27" s="22">
        <f t="shared" si="2"/>
        <v>0.589242310718045</v>
      </c>
      <c r="P27" s="23">
        <f t="shared" si="2"/>
        <v>419064.413144416</v>
      </c>
      <c r="Q27" s="22">
        <f t="shared" si="2"/>
        <v>0.755705505848955</v>
      </c>
      <c r="R27" s="23">
        <f t="shared" si="2"/>
        <v>537451.704601256</v>
      </c>
      <c r="S27" s="22">
        <f t="shared" si="2"/>
        <v>0.870271651519495</v>
      </c>
      <c r="T27" s="23">
        <f t="shared" si="2"/>
        <v>618930.230036976</v>
      </c>
      <c r="U27" s="22">
        <f t="shared" si="2"/>
        <v>0.947266576545335</v>
      </c>
      <c r="V27" s="23">
        <f t="shared" si="2"/>
        <v>673688.404194112</v>
      </c>
      <c r="W27" s="22">
        <f t="shared" si="2"/>
        <v>0.989855035745581</v>
      </c>
      <c r="X27" s="23">
        <f t="shared" si="2"/>
        <v>703976.97535888</v>
      </c>
      <c r="Y27" s="22">
        <f>Z27/C27</f>
        <v>1</v>
      </c>
      <c r="Z27" s="23">
        <f>X27+Z26</f>
        <v>711191.99270288</v>
      </c>
    </row>
    <row r="28" ht="12.75" customHeight="1" spans="1:26">
      <c r="A28" s="24" t="s">
        <v>532</v>
      </c>
      <c r="B28" s="24"/>
      <c r="C28" s="24"/>
      <c r="D28" s="24"/>
      <c r="E28" s="24"/>
      <c r="F28" s="24"/>
      <c r="G28" s="24"/>
      <c r="H28" s="24"/>
      <c r="I28" s="24"/>
      <c r="J28" s="24"/>
      <c r="K28" s="24"/>
      <c r="L28" s="24"/>
      <c r="M28" s="24"/>
      <c r="N28" s="24"/>
      <c r="O28" s="24"/>
      <c r="P28" s="24"/>
      <c r="Q28" s="24"/>
      <c r="R28" s="24"/>
      <c r="S28" s="24"/>
      <c r="T28" s="24"/>
      <c r="U28" s="24"/>
      <c r="V28" s="24"/>
      <c r="W28" s="24"/>
      <c r="X28" s="24"/>
      <c r="Y28" s="24"/>
      <c r="Z28" s="24"/>
    </row>
    <row r="29" ht="12.75" customHeight="1" spans="1:26">
      <c r="A29" s="24" t="s">
        <v>533</v>
      </c>
      <c r="B29" s="24"/>
      <c r="C29" s="24"/>
      <c r="D29" s="24"/>
      <c r="E29" s="24"/>
      <c r="F29" s="24"/>
      <c r="G29" s="24"/>
      <c r="H29" s="24"/>
      <c r="I29" s="24"/>
      <c r="J29" s="24"/>
      <c r="K29" s="24"/>
      <c r="L29" s="24"/>
      <c r="M29" s="24"/>
      <c r="N29" s="24"/>
      <c r="O29" s="24"/>
      <c r="P29" s="24"/>
      <c r="Q29" s="24"/>
      <c r="R29" s="24"/>
      <c r="S29" s="24"/>
      <c r="T29" s="24"/>
      <c r="U29" s="24"/>
      <c r="V29" s="24"/>
      <c r="W29" s="24"/>
      <c r="X29" s="24"/>
      <c r="Y29" s="24"/>
      <c r="Z29" s="24"/>
    </row>
  </sheetData>
  <sheetProtection selectLockedCells="1" selectUnlockedCells="1"/>
  <mergeCells count="25">
    <mergeCell ref="A1:Z1"/>
    <mergeCell ref="B2:H2"/>
    <mergeCell ref="I2:Z2"/>
    <mergeCell ref="B3:H3"/>
    <mergeCell ref="I3:Z3"/>
    <mergeCell ref="B4:Z4"/>
    <mergeCell ref="E5:F5"/>
    <mergeCell ref="G5:H5"/>
    <mergeCell ref="I5:J5"/>
    <mergeCell ref="K5:L5"/>
    <mergeCell ref="M5:N5"/>
    <mergeCell ref="O5:P5"/>
    <mergeCell ref="Q5:R5"/>
    <mergeCell ref="S5:T5"/>
    <mergeCell ref="U5:V5"/>
    <mergeCell ref="W5:X5"/>
    <mergeCell ref="Y5:Z5"/>
    <mergeCell ref="A26:B26"/>
    <mergeCell ref="A27:B27"/>
    <mergeCell ref="A28:Z28"/>
    <mergeCell ref="A29:Z29"/>
    <mergeCell ref="A5:A6"/>
    <mergeCell ref="B5:B6"/>
    <mergeCell ref="C5:C6"/>
    <mergeCell ref="D5:D6"/>
  </mergeCells>
  <pageMargins left="0.25" right="0.25" top="0.75" bottom="0.75" header="0.3" footer="0.3"/>
  <pageSetup paperSize="9" scale="45" fitToHeight="0" orientation="landscape" horizontalDpi="300" verticalDpi="300"/>
  <headerFooter alignWithMargins="0" scaleWithDoc="0">
    <oddHeader>&amp;C&amp;"Times New Roman,Normal"&amp;12&amp;A</oddHeader>
    <oddFooter>&amp;C&amp;"Times New Roman,Normal"&amp;12Page &amp;P</oddFooter>
  </headerFooter>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zoomScale="93" zoomScaleNormal="93" zoomScaleSheetLayoutView="93" workbookViewId="0">
      <selection activeCell="E10" sqref="E10"/>
    </sheetView>
  </sheetViews>
  <sheetFormatPr defaultColWidth="11.5714285714286" defaultRowHeight="15" outlineLevelCol="4"/>
  <cols>
    <col min="1" max="1" width="5.57142857142857" customWidth="1"/>
    <col min="2" max="2" width="40.2857142857143" customWidth="1"/>
    <col min="3" max="3" width="12.5714285714286" hidden="1" customWidth="1"/>
    <col min="4" max="4" width="11.5714285714286" customWidth="1"/>
    <col min="5" max="5" width="33.5714285714286" customWidth="1"/>
  </cols>
  <sheetData>
    <row r="1" ht="12.75" customHeight="1" spans="1:5">
      <c r="A1" s="1" t="s">
        <v>7</v>
      </c>
      <c r="B1" s="2" t="s">
        <v>534</v>
      </c>
      <c r="C1" s="3" t="s">
        <v>529</v>
      </c>
      <c r="D1" s="4" t="s">
        <v>535</v>
      </c>
      <c r="E1" s="5" t="s">
        <v>536</v>
      </c>
    </row>
    <row r="2" spans="1:5">
      <c r="A2" s="1"/>
      <c r="B2" s="2"/>
      <c r="C2" s="3"/>
      <c r="D2" s="4"/>
      <c r="E2" s="5"/>
    </row>
    <row r="3" spans="1:5">
      <c r="A3" s="6">
        <v>1</v>
      </c>
      <c r="B3" s="7" t="e">
        <f t="shared" ref="B3:B19" si="0">#N/A</f>
        <v>#N/A</v>
      </c>
      <c r="C3" s="8" t="e">
        <f t="shared" ref="C3:C21" si="1">#N/A</f>
        <v>#N/A</v>
      </c>
      <c r="D3" s="6">
        <v>30</v>
      </c>
      <c r="E3" s="8" t="e">
        <f t="shared" ref="E3:E21" si="2">#N/A</f>
        <v>#N/A</v>
      </c>
    </row>
    <row r="4" spans="1:5">
      <c r="A4" s="6">
        <v>3</v>
      </c>
      <c r="B4" s="7" t="e">
        <f t="shared" si="0"/>
        <v>#N/A</v>
      </c>
      <c r="C4" s="8" t="e">
        <f t="shared" si="1"/>
        <v>#N/A</v>
      </c>
      <c r="D4" s="6">
        <v>90</v>
      </c>
      <c r="E4" s="8" t="e">
        <f t="shared" si="2"/>
        <v>#N/A</v>
      </c>
    </row>
    <row r="5" ht="30" spans="1:5">
      <c r="A5" s="6">
        <v>4</v>
      </c>
      <c r="B5" s="7" t="e">
        <f t="shared" si="0"/>
        <v>#N/A</v>
      </c>
      <c r="C5" s="8" t="e">
        <f t="shared" si="1"/>
        <v>#N/A</v>
      </c>
      <c r="D5" s="6">
        <v>90</v>
      </c>
      <c r="E5" s="8" t="e">
        <f t="shared" si="2"/>
        <v>#N/A</v>
      </c>
    </row>
    <row r="6" spans="1:5">
      <c r="A6" s="6">
        <v>5</v>
      </c>
      <c r="B6" s="7" t="e">
        <f t="shared" si="0"/>
        <v>#N/A</v>
      </c>
      <c r="C6" s="8" t="e">
        <f t="shared" si="1"/>
        <v>#N/A</v>
      </c>
      <c r="D6" s="6">
        <v>90</v>
      </c>
      <c r="E6" s="8" t="e">
        <f t="shared" si="2"/>
        <v>#N/A</v>
      </c>
    </row>
    <row r="7" spans="1:5">
      <c r="A7" s="6">
        <v>6</v>
      </c>
      <c r="B7" s="7" t="e">
        <f t="shared" si="0"/>
        <v>#N/A</v>
      </c>
      <c r="C7" s="8" t="e">
        <f t="shared" si="1"/>
        <v>#N/A</v>
      </c>
      <c r="D7" s="6">
        <v>90</v>
      </c>
      <c r="E7" s="8" t="e">
        <f t="shared" si="2"/>
        <v>#N/A</v>
      </c>
    </row>
    <row r="8" spans="1:5">
      <c r="A8" s="6">
        <v>7</v>
      </c>
      <c r="B8" s="7" t="e">
        <f t="shared" si="0"/>
        <v>#N/A</v>
      </c>
      <c r="C8" s="8" t="e">
        <f t="shared" si="1"/>
        <v>#N/A</v>
      </c>
      <c r="D8" s="6">
        <v>60</v>
      </c>
      <c r="E8" s="8" t="e">
        <f t="shared" si="2"/>
        <v>#N/A</v>
      </c>
    </row>
    <row r="9" spans="1:5">
      <c r="A9" s="6">
        <v>8</v>
      </c>
      <c r="B9" s="7" t="e">
        <f t="shared" si="0"/>
        <v>#N/A</v>
      </c>
      <c r="C9" s="8" t="e">
        <f t="shared" si="1"/>
        <v>#N/A</v>
      </c>
      <c r="D9" s="6">
        <v>180</v>
      </c>
      <c r="E9" s="8" t="e">
        <f t="shared" si="2"/>
        <v>#N/A</v>
      </c>
    </row>
    <row r="10" spans="1:5">
      <c r="A10" s="6">
        <v>9</v>
      </c>
      <c r="B10" s="7" t="e">
        <f t="shared" si="0"/>
        <v>#N/A</v>
      </c>
      <c r="C10" s="8" t="e">
        <f t="shared" si="1"/>
        <v>#N/A</v>
      </c>
      <c r="D10" s="6">
        <v>210</v>
      </c>
      <c r="E10" s="8" t="e">
        <f t="shared" si="2"/>
        <v>#N/A</v>
      </c>
    </row>
    <row r="11" spans="1:5">
      <c r="A11" s="6">
        <v>10</v>
      </c>
      <c r="B11" s="7" t="e">
        <f t="shared" si="0"/>
        <v>#N/A</v>
      </c>
      <c r="C11" s="8" t="e">
        <f t="shared" si="1"/>
        <v>#N/A</v>
      </c>
      <c r="D11" s="6">
        <v>210</v>
      </c>
      <c r="E11" s="8" t="e">
        <f t="shared" si="2"/>
        <v>#N/A</v>
      </c>
    </row>
    <row r="12" spans="1:5">
      <c r="A12" s="6">
        <v>12</v>
      </c>
      <c r="B12" s="7" t="e">
        <f t="shared" si="0"/>
        <v>#N/A</v>
      </c>
      <c r="C12" s="8" t="e">
        <f t="shared" si="1"/>
        <v>#N/A</v>
      </c>
      <c r="D12" s="6">
        <v>90</v>
      </c>
      <c r="E12" s="8" t="e">
        <f t="shared" si="2"/>
        <v>#N/A</v>
      </c>
    </row>
    <row r="13" spans="1:5">
      <c r="A13" s="6">
        <v>13</v>
      </c>
      <c r="B13" s="7" t="e">
        <f t="shared" si="0"/>
        <v>#N/A</v>
      </c>
      <c r="C13" s="8" t="e">
        <f t="shared" si="1"/>
        <v>#N/A</v>
      </c>
      <c r="D13" s="6">
        <v>60</v>
      </c>
      <c r="E13" s="8" t="e">
        <f t="shared" si="2"/>
        <v>#N/A</v>
      </c>
    </row>
    <row r="14" spans="1:5">
      <c r="A14" s="6">
        <v>14</v>
      </c>
      <c r="B14" s="7" t="e">
        <f t="shared" si="0"/>
        <v>#N/A</v>
      </c>
      <c r="C14" s="8" t="e">
        <f t="shared" si="1"/>
        <v>#N/A</v>
      </c>
      <c r="D14" s="6">
        <v>90</v>
      </c>
      <c r="E14" s="8" t="e">
        <f t="shared" si="2"/>
        <v>#N/A</v>
      </c>
    </row>
    <row r="15" spans="1:5">
      <c r="A15" s="6">
        <v>15</v>
      </c>
      <c r="B15" s="7" t="e">
        <f t="shared" si="0"/>
        <v>#N/A</v>
      </c>
      <c r="C15" s="8" t="e">
        <f t="shared" si="1"/>
        <v>#N/A</v>
      </c>
      <c r="D15" s="6">
        <v>90</v>
      </c>
      <c r="E15" s="8" t="e">
        <f t="shared" si="2"/>
        <v>#N/A</v>
      </c>
    </row>
    <row r="16" spans="1:5">
      <c r="A16" s="6">
        <v>17</v>
      </c>
      <c r="B16" s="7" t="e">
        <f t="shared" si="0"/>
        <v>#N/A</v>
      </c>
      <c r="C16" s="8" t="e">
        <f t="shared" si="1"/>
        <v>#N/A</v>
      </c>
      <c r="D16" s="6">
        <v>90</v>
      </c>
      <c r="E16" s="8" t="e">
        <f t="shared" si="2"/>
        <v>#N/A</v>
      </c>
    </row>
    <row r="17" spans="1:5">
      <c r="A17" s="6">
        <v>18</v>
      </c>
      <c r="B17" s="7" t="e">
        <f t="shared" si="0"/>
        <v>#N/A</v>
      </c>
      <c r="C17" s="8" t="e">
        <f t="shared" si="1"/>
        <v>#N/A</v>
      </c>
      <c r="D17" s="6">
        <v>60</v>
      </c>
      <c r="E17" s="8" t="e">
        <f t="shared" si="2"/>
        <v>#N/A</v>
      </c>
    </row>
    <row r="18" spans="1:5">
      <c r="A18" s="6">
        <v>20</v>
      </c>
      <c r="B18" s="7" t="e">
        <f t="shared" si="0"/>
        <v>#N/A</v>
      </c>
      <c r="C18" s="8" t="e">
        <f t="shared" si="1"/>
        <v>#N/A</v>
      </c>
      <c r="D18" s="6">
        <v>240</v>
      </c>
      <c r="E18" s="8" t="e">
        <f t="shared" si="2"/>
        <v>#N/A</v>
      </c>
    </row>
    <row r="19" spans="1:5">
      <c r="A19" s="6">
        <v>23</v>
      </c>
      <c r="B19" s="7" t="e">
        <f t="shared" si="0"/>
        <v>#N/A</v>
      </c>
      <c r="C19" s="8" t="e">
        <f t="shared" si="1"/>
        <v>#N/A</v>
      </c>
      <c r="D19" s="6">
        <v>240</v>
      </c>
      <c r="E19" s="8" t="e">
        <f t="shared" si="2"/>
        <v>#N/A</v>
      </c>
    </row>
    <row r="20" spans="1:5">
      <c r="A20" s="6">
        <v>24</v>
      </c>
      <c r="B20" s="7" t="s">
        <v>475</v>
      </c>
      <c r="C20" s="8" t="e">
        <f t="shared" si="1"/>
        <v>#N/A</v>
      </c>
      <c r="D20" s="6">
        <v>60</v>
      </c>
      <c r="E20" s="8" t="e">
        <f t="shared" si="2"/>
        <v>#N/A</v>
      </c>
    </row>
    <row r="21" spans="1:5">
      <c r="A21" s="6">
        <v>26</v>
      </c>
      <c r="B21" s="7" t="s">
        <v>497</v>
      </c>
      <c r="C21" s="8" t="e">
        <f t="shared" si="1"/>
        <v>#N/A</v>
      </c>
      <c r="D21" s="6">
        <v>30</v>
      </c>
      <c r="E21" s="8" t="e">
        <f t="shared" si="2"/>
        <v>#N/A</v>
      </c>
    </row>
    <row r="22" customHeight="1" spans="1:5">
      <c r="A22" s="9" t="s">
        <v>531</v>
      </c>
      <c r="B22" s="9"/>
      <c r="C22" s="10" t="e">
        <f>SUM(C3:C21)</f>
        <v>#N/A</v>
      </c>
      <c r="D22" s="10"/>
      <c r="E22" s="10" t="e">
        <f>SUM(E3:E21)</f>
        <v>#N/A</v>
      </c>
    </row>
  </sheetData>
  <sheetProtection password="E87C" sheet="1" objects="1" scenarios="1"/>
  <mergeCells count="6">
    <mergeCell ref="A22:B22"/>
    <mergeCell ref="A1:A2"/>
    <mergeCell ref="B1:B2"/>
    <mergeCell ref="C1:C2"/>
    <mergeCell ref="D1:D2"/>
    <mergeCell ref="E1:E2"/>
  </mergeCells>
  <pageMargins left="0.79" right="0.79" top="1.05" bottom="1.05" header="0.79" footer="0.79"/>
  <pageSetup paperSize="9" scale="72" orientation="portrait" horizontalDpi="300" verticalDpi="300"/>
  <headerFooter alignWithMargins="0" scaleWithDoc="0">
    <oddHeader>&amp;C&amp;"Times New Roman,Normal"&amp;12&amp;A</oddHeader>
    <oddFooter>&amp;C&amp;"Times New Roman,Normal"&amp;12Page &amp;P</oddFooter>
  </headerFooter>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PLANILHA QUADRA MODELO 3</vt:lpstr>
      <vt:lpstr>CRONOGRAMA FÍSICO FINANCEIRO</vt:lpstr>
      <vt:lpstr>PLANO DE APLICAÇÃO</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EDUCAÇÃO1</dc:creator>
  <cp:lastModifiedBy>PMJM</cp:lastModifiedBy>
  <cp:revision>1</cp:revision>
  <dcterms:created xsi:type="dcterms:W3CDTF">2021-12-07T11:05:00Z</dcterms:created>
  <cp:lastPrinted>2023-12-11T12:25:00Z</cp:lastPrinted>
  <dcterms:modified xsi:type="dcterms:W3CDTF">2024-01-12T18:27:00Z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1046-12.2.0.13412</vt:lpwstr>
  </property>
  <property fmtid="{D5CDD505-2E9C-101B-9397-08002B2CF9AE}" pid="3" name="ICV">
    <vt:lpwstr>9BFDBBB128F84971A9D1FD8E82E942FC_12</vt:lpwstr>
  </property>
</Properties>
</file>